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Nowe Wydzialy\!rejestr_udostepnien\250528_otylosc_aktualizacja\"/>
    </mc:Choice>
  </mc:AlternateContent>
  <xr:revisionPtr revIDLastSave="0" documentId="13_ncr:1_{45D0792A-CFD6-4FE8-BF4B-BFEF91A43D36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Spis treści" sheetId="1" r:id="rId1"/>
    <sheet name="Tabela 1.1" sheetId="2" r:id="rId2"/>
    <sheet name="Tabela 1.2" sheetId="3" r:id="rId3"/>
    <sheet name="Wykres 1.1" sheetId="4" r:id="rId4"/>
    <sheet name="Wykres 1.2" sheetId="5" r:id="rId5"/>
    <sheet name="Wykres 1.3" sheetId="6" r:id="rId6"/>
    <sheet name="Wykres 1.4" sheetId="7" r:id="rId7"/>
    <sheet name="Wykres 1.5" sheetId="8" r:id="rId8"/>
    <sheet name="Tabela 2.1" sheetId="9" r:id="rId9"/>
    <sheet name="Wykres 2.1" sheetId="10" r:id="rId10"/>
    <sheet name="Wykres 2.2" sheetId="11" r:id="rId11"/>
    <sheet name="Wykres 2.3" sheetId="12" r:id="rId12"/>
    <sheet name="Wykres 2.4" sheetId="13" r:id="rId13"/>
    <sheet name="Wykres 3.1" sheetId="14" r:id="rId14"/>
    <sheet name="Tabela 3.1" sheetId="15" r:id="rId15"/>
    <sheet name="Tabela 3.2" sheetId="16" r:id="rId16"/>
    <sheet name="Tabela 3.3" sheetId="17" r:id="rId17"/>
    <sheet name="Tabela 3.4" sheetId="18" r:id="rId18"/>
    <sheet name="Tabela 3.5" sheetId="19" r:id="rId19"/>
    <sheet name="Tabela 3.6" sheetId="20" r:id="rId20"/>
    <sheet name="Tabela 3.7" sheetId="21" r:id="rId21"/>
    <sheet name="Tabela 3.8" sheetId="22" r:id="rId22"/>
    <sheet name="Tabela 3.9" sheetId="23" r:id="rId23"/>
    <sheet name="Wykres 3.2" sheetId="24" r:id="rId24"/>
    <sheet name="Tabela 3.10" sheetId="25" r:id="rId25"/>
    <sheet name="Tabela 3.11" sheetId="26" r:id="rId26"/>
    <sheet name="Tabela 3.12" sheetId="27" r:id="rId27"/>
    <sheet name="Tabela 3.13" sheetId="28" r:id="rId28"/>
    <sheet name="Wykres 3.3" sheetId="29" r:id="rId29"/>
    <sheet name="Tabela 3.14" sheetId="30" r:id="rId30"/>
    <sheet name="Tabela 3.15" sheetId="31" r:id="rId31"/>
    <sheet name="Tabela 3.16" sheetId="32" r:id="rId32"/>
    <sheet name="Tabela 3.17" sheetId="33" r:id="rId33"/>
    <sheet name="Tabela 3.18" sheetId="34" r:id="rId34"/>
    <sheet name="Tabela 3.19" sheetId="35" r:id="rId35"/>
    <sheet name="Tabela 3.20" sheetId="36" r:id="rId36"/>
    <sheet name="Tabela 3.21" sheetId="37" r:id="rId37"/>
    <sheet name="Wykres 3.4" sheetId="38" r:id="rId38"/>
    <sheet name="Wykres 3.5" sheetId="39" r:id="rId39"/>
    <sheet name="Tabela 3.22" sheetId="40" r:id="rId40"/>
    <sheet name="Tabela 3.23" sheetId="41" r:id="rId41"/>
    <sheet name="Tabela 3.24" sheetId="42" r:id="rId42"/>
    <sheet name="Tabela 3.25" sheetId="43" r:id="rId43"/>
    <sheet name="Tabela 3.26" sheetId="44" r:id="rId44"/>
    <sheet name="Tabela 3.27" sheetId="45" r:id="rId45"/>
  </sheets>
  <definedNames>
    <definedName name="_xlnm._FilterDatabase" localSheetId="7" hidden="1">'Wykres 1.5'!$A$3:$B$7</definedName>
    <definedName name="_xlnm._FilterDatabase" localSheetId="11" hidden="1">'Wykres 2.3'!$A$3:$C$9</definedName>
    <definedName name="_xlnm._FilterDatabase" localSheetId="12" hidden="1">'Wykres 2.4'!$A$3:$B$9</definedName>
    <definedName name="_xlnm._FilterDatabase" localSheetId="13" hidden="1">'Wykres 3.1'!$A$3:$C$14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" i="45" l="1"/>
  <c r="A22" i="44"/>
  <c r="A22" i="43"/>
  <c r="A18" i="42"/>
  <c r="A11" i="41"/>
  <c r="A11" i="40"/>
  <c r="A31" i="39"/>
  <c r="A15" i="38"/>
  <c r="A9" i="37"/>
  <c r="A22" i="36"/>
  <c r="A22" i="35"/>
  <c r="A22" i="34"/>
  <c r="A18" i="33"/>
  <c r="A18" i="32"/>
  <c r="A18" i="31"/>
  <c r="A17" i="30"/>
  <c r="A18" i="29"/>
  <c r="A22" i="28"/>
  <c r="A22" i="27"/>
  <c r="A22" i="26"/>
  <c r="A18" i="25"/>
  <c r="A18" i="24"/>
  <c r="A22" i="23"/>
  <c r="A18" i="22"/>
  <c r="A22" i="21"/>
  <c r="A22" i="20"/>
  <c r="A18" i="19"/>
  <c r="A22" i="18"/>
  <c r="A22" i="17"/>
  <c r="A18" i="16"/>
  <c r="A18" i="15"/>
  <c r="A18" i="14"/>
  <c r="A24" i="13"/>
  <c r="A24" i="12"/>
  <c r="A46" i="11"/>
  <c r="A25" i="10"/>
  <c r="A19" i="9"/>
  <c r="A25" i="8"/>
  <c r="A19" i="7"/>
  <c r="A133" i="6"/>
  <c r="A31" i="5"/>
  <c r="A111" i="4"/>
  <c r="A9" i="3"/>
  <c r="A13" i="2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<sst xmlns="http://schemas.openxmlformats.org/spreadsheetml/2006/main" count="1092" uniqueCount="359">
  <si>
    <t>Spis treści</t>
  </si>
  <si>
    <t>Arkusz</t>
  </si>
  <si>
    <t>Opis</t>
  </si>
  <si>
    <t>Tabela 1.1: Liczba oraz odsetek ludności powyżej 5. r.ż.* na świecie z otyłością lub nadwagą</t>
  </si>
  <si>
    <t>2020</t>
  </si>
  <si>
    <t>2025</t>
  </si>
  <si>
    <t>2030</t>
  </si>
  <si>
    <t>2035</t>
  </si>
  <si>
    <t>Liczba ludności z nadwagą lub otyłością (w mln)</t>
  </si>
  <si>
    <t>Liczba osób otyłych (w mln)</t>
  </si>
  <si>
    <t>Odsetek populacji z nadwagą lub otyłością</t>
  </si>
  <si>
    <t>Odsetek populacji z otyłością</t>
  </si>
  <si>
    <t>Liczba oraz odsetek ludności powyżej 5. r.ż.* na świecie z otyłością lub nadwagą</t>
  </si>
  <si>
    <t>Źródło: opracowanie własne na podstawie danych World Obesity Atlas 2023</t>
  </si>
  <si>
    <t>*U dzieci w wieku od 5 do 19 lat otyłość i nadwagę określa się inaczej niż w przypadku dorosłych. O otyłości mówi się kiedy BMI przekracza o 2 odchylenia standardowe referencyjną medianę BMI, określoną przez WHO z uwzględnieniem wieku i płci, a o nadwadze przy przekroczeniu wartości o 1 i nie więcej niż 2 odchylenia standardowe.</t>
  </si>
  <si>
    <t>Tabela 1.2: Ogólnoświatowe koszty (pośrednie i bezpośrednie) występowania otyłości i nadwagi</t>
  </si>
  <si>
    <t>Koszt (w bilionach USD)</t>
  </si>
  <si>
    <t>Koszt (%PKB)</t>
  </si>
  <si>
    <t>Ogólnoświatowe koszty (pośrednie i bezpośrednie) występowania otyłości i nadwagi</t>
  </si>
  <si>
    <t>Wykres 1.1: Odsetek osób otyłych wśród osób pełnoletnich w wybranych krajach, lata 2014, 2017, 2019, 2022</t>
  </si>
  <si>
    <t>Państwo</t>
  </si>
  <si>
    <t>Rok</t>
  </si>
  <si>
    <t>Odsetek osób otyłych</t>
  </si>
  <si>
    <t>Austria</t>
  </si>
  <si>
    <t>2014</t>
  </si>
  <si>
    <t>Belgia</t>
  </si>
  <si>
    <t>Bułgaria</t>
  </si>
  <si>
    <t>Chorwacja</t>
  </si>
  <si>
    <t>Cypr</t>
  </si>
  <si>
    <t>Czechy</t>
  </si>
  <si>
    <t>Dania</t>
  </si>
  <si>
    <t>Estonia</t>
  </si>
  <si>
    <t>Finlandia</t>
  </si>
  <si>
    <t>Francja</t>
  </si>
  <si>
    <t>Grecja</t>
  </si>
  <si>
    <t>Hiszpania</t>
  </si>
  <si>
    <t>Litwa</t>
  </si>
  <si>
    <t>Luksemburg</t>
  </si>
  <si>
    <t>Łotwa</t>
  </si>
  <si>
    <t>Malta</t>
  </si>
  <si>
    <t>Nolandia</t>
  </si>
  <si>
    <t>Norwegia</t>
  </si>
  <si>
    <t>Polska</t>
  </si>
  <si>
    <t>Portugalia</t>
  </si>
  <si>
    <t>Rumunia</t>
  </si>
  <si>
    <t>Słowacja</t>
  </si>
  <si>
    <t>Słowenia</t>
  </si>
  <si>
    <t>Szwecja</t>
  </si>
  <si>
    <t>Węgry</t>
  </si>
  <si>
    <t>Włochy</t>
  </si>
  <si>
    <t>2017</t>
  </si>
  <si>
    <t>2019</t>
  </si>
  <si>
    <t>2022</t>
  </si>
  <si>
    <t>Odsetek osób otyłych wśród osób pełnoletnich w wybranych krajach, lata 2014, 2017, 2019, 2022</t>
  </si>
  <si>
    <t>Źródło: opracowanie własne na podstawie danych Eurostat</t>
  </si>
  <si>
    <t>Wykres 1.2: Średni poziom wskaźnika BMI u osób pełnoletnich w poszczególnych państwach, lata 1996, 2006, 2016</t>
  </si>
  <si>
    <t>2016</t>
  </si>
  <si>
    <t>2006</t>
  </si>
  <si>
    <t>1996</t>
  </si>
  <si>
    <t>Argentyna</t>
  </si>
  <si>
    <t>Australia</t>
  </si>
  <si>
    <t>Chiny</t>
  </si>
  <si>
    <t>Indie</t>
  </si>
  <si>
    <t>Irlandia</t>
  </si>
  <si>
    <t>Japonia</t>
  </si>
  <si>
    <t>Kanada</t>
  </si>
  <si>
    <t>Meksyk</t>
  </si>
  <si>
    <t>Niemcy</t>
  </si>
  <si>
    <t>Stany Zjednoczone</t>
  </si>
  <si>
    <t>Szwajcaria</t>
  </si>
  <si>
    <t>Ukraina</t>
  </si>
  <si>
    <t>Wielka Brytania</t>
  </si>
  <si>
    <t>Średni poziom wskaźnika BMI u osób pełnoletnich w poszczególnych państwach, lata 1996, 2006, 2016</t>
  </si>
  <si>
    <t>Źródło: opracowanie własne na podstawie danych World Health Organization (WHO)</t>
  </si>
  <si>
    <t>Wykres 1.3: Struktura populacji wybranych państw europejskich powyżej 15. roku życia ze względu na BMI, 2019 rok</t>
  </si>
  <si>
    <t>BMI</t>
  </si>
  <si>
    <t>Odsetek populacji powyżej 15 r.ż.</t>
  </si>
  <si>
    <t>Otyłość</t>
  </si>
  <si>
    <t>Nadwaga</t>
  </si>
  <si>
    <t>Prawidłowe</t>
  </si>
  <si>
    <t>Niedowaga</t>
  </si>
  <si>
    <t>Unia Europejska*</t>
  </si>
  <si>
    <t>Turcja</t>
  </si>
  <si>
    <t>Serbia</t>
  </si>
  <si>
    <t>Islandia</t>
  </si>
  <si>
    <t>Holandia</t>
  </si>
  <si>
    <t>Struktura populacji wybranych państw europejskich powyżej 15. roku życia ze względu na BMI, 2019 rok</t>
  </si>
  <si>
    <t>Źródło: opracowanie własne na podstawie danych Eurostatu</t>
  </si>
  <si>
    <t>* bez Wielkiej Brytanii.</t>
  </si>
  <si>
    <t>Wykres 1.4: Struktura populacji powyżej 15. r.ż. ze względu na wartość BMI, lata 2014 i 2019</t>
  </si>
  <si>
    <t>Odsetek</t>
  </si>
  <si>
    <t>Otyłość (BMI 30,0 i więcej)</t>
  </si>
  <si>
    <t>Nadwaga (wysoki przedział - BMI 27,5-29,99)</t>
  </si>
  <si>
    <t>Nadwaga (niski przedział - BMI 25,0-27,49)</t>
  </si>
  <si>
    <t>Prawidłowe (wysoki przedział - BMI 23,0-24,99)</t>
  </si>
  <si>
    <t>Prawidłowe (niski przedział - BMI 18,5-22,99)</t>
  </si>
  <si>
    <t>Znaczna niedowaga i niedowaga (BMI poniżej 18,49)</t>
  </si>
  <si>
    <t>Struktura populacji powyżej 15. r.ż. ze względu na wartość BMI, lata 2014 i 2019</t>
  </si>
  <si>
    <t>Źródło: opracowanie własne na podstawie danych GUS</t>
  </si>
  <si>
    <t>Wykres 1.5: Odsetek osób z otyłością w Polsce na przestrzeni lat</t>
  </si>
  <si>
    <t>Odsetek otyłych</t>
  </si>
  <si>
    <t>Odsetek osób z otyłością w Polsce na przestrzeni lat</t>
  </si>
  <si>
    <t>Źródło: opracowanie własne na podstawie danych GUS (dane za 2014 i 2019, odsetek odnosi się do populacji w wieku powyżej 15. r.ż.), NIZP PZH — PIB (dane za 2022 rok, odsetek odnosi się do populacji w wieku powyżej 20. r.ż.) oraz Lobstein et al. (2023) (dane za 2035, odsetek odnosi się do populacji w wieku powyżej 20. r.ż.)</t>
  </si>
  <si>
    <t>Tabela 2.1: Operacje bariatryczne (JGP F14), lata 2017 - 2024</t>
  </si>
  <si>
    <t>Liczba pacjentów (w tys.)</t>
  </si>
  <si>
    <t>Liczba hospitalizacji (w tys.)</t>
  </si>
  <si>
    <t>Wartość refundacji świadczeń (w mln zł)</t>
  </si>
  <si>
    <t>Operacje bariatryczne (JGP F14), lata 2017 - 2024</t>
  </si>
  <si>
    <t>Źródło: opracowanie własne na podstawie danych NFZ</t>
  </si>
  <si>
    <t>Wartość refundacji świadczeń odnosi się do świadczeń, dla których wartość rozliczonego świadczenia była większa od zera lub świadczenie zostało sprawozdane w ramach ryczałtu PSZ (nie uwzględnia zatem np. świadczeń udzielonych w ramach szpitalnych oddziałów ratunkowych). W przypadku świadczeń rozliczonych w ramach ryczałtu systemu podstawowego szpitalnego zabezpieczenia świadczeń opieki zdrowotnej (PSZ) uwzględniono ich wartość w oparciu o cenę jednostki sprawozdawczej ryczałtu systemu zabezpieczenia obowiązującą w danym okresie rozliczeniowym.</t>
  </si>
  <si>
    <t>W przypadku świadczeń rozliczonych w ramach ryczałtu systemu podstawowego szpitalnego zabezpieczenia świadczeń opieki zdrowotnej (PSZ) uwzględniono ich wartość w oparciu o cenę jednostki sprawozdawczej ryczałtu systemu zabezpieczenia obowiązującą w danym okresie rozliczeniowym.</t>
  </si>
  <si>
    <t>Należy zauważyć, że na wzrost wartości refundacji w 2022 r. wpłyneła Rekomendacja nr 65/2022 z dnia 13 lipca 2022 r. Prezesa Agencji Oceny Technologii Medycznych i Taryfikacji w sprawie zmiany sposobu lub poziomu finansowania świadczeń opieki zdrowotnej.</t>
  </si>
  <si>
    <t>Wykres 2.1: Liczba świadczeniodawców uczestniczących w programie KOS-BAR w poszczególnych województwach, stan na 1 października 2025 roku</t>
  </si>
  <si>
    <t>Województwo</t>
  </si>
  <si>
    <t>Liczba świadczeniodawców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</si>
  <si>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</si>
  <si>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</si>
  <si>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</si>
  <si>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</si>
  <si>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</si>
  <si>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</si>
  <si>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</si>
  <si>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</si>
  <si>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</si>
  <si>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</si>
  <si>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</si>
  <si>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</si>
  <si>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</si>
  <si>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</si>
  <si>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</si>
  <si>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</si>
  <si>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Liczba świadczeniodawców uczestniczących w programie KOS-BAR w poszczególnych województwach, stan na 1 października 2025 roku</t>
  </si>
  <si>
    <t>Do końca sierpnia 2025 roku w programie KOS-BAR uczestniczyło 19 świadczeniodawców. 31 sierpnia 2025 roku Samodzielny Publiczny Zakład Opieki Zdrowotnej w Hajnówce rozwiązał umowę na realizację programu pilotażowego KOS-BAR.</t>
  </si>
  <si>
    <t>Wykres 2.2: Wartość refundacji świadczeń programu KOS-BAR w latach 2021, 2022, 2023, 2024</t>
  </si>
  <si>
    <t>Miesiąc</t>
  </si>
  <si>
    <t>Wartość refundacji świadczeń programu KOS-BAR w latach 2021, 2022, 2023, 2024</t>
  </si>
  <si>
    <t xml:space="preserve">Wartość refundacji świadczeń odnosi się do świadczeń, dla których wartość rozliczonego świadczenia była większa od zera lub świadczenie zostało sprawozdane w ramach ryczałtu PSZ. </t>
  </si>
  <si>
    <t>Wykres 2.3: Liczba pacjentów (w tys.), którzy wykupili leki stosowane w leczeniu otyłości (słupki) oraz liczba wykupionych opakowań leków stosowanych w leczeniu otyłości (w tys.) (linia) w podziale na lata</t>
  </si>
  <si>
    <t>Liczba pacjentów</t>
  </si>
  <si>
    <t>Liczba sprzedanych opakowań</t>
  </si>
  <si>
    <t>Liczba pacjentów (w tys.), którzy wykupili leki stosowane w leczeniu otyłości (słupki) oraz liczba wykupionych opakowań leków stosowanych w leczeniu otyłości (w tys.) (linia) w podziale na lata</t>
  </si>
  <si>
    <t>Źródło: opracowanie własne na podstawie danych CEZ</t>
  </si>
  <si>
    <t>W Polsce jest dostępnych kilka leków stosowanych w leczeniu otyłości. Są to leki zawierające substancje czynne: Naltrexoni hydrochloridum, Bupropioni hydrochloridum, Liraglutidum, Orlistatum, Semaglutidum.</t>
  </si>
  <si>
    <t>Wykres 2.4: Wartość sprzedaży leków stosowanych w leczeniu otyłości w podziale na lata (2019-2024)</t>
  </si>
  <si>
    <t>Wartość sprzedaży</t>
  </si>
  <si>
    <t>Wartość sprzedaży leków stosowanych w leczeniu otyłości w podziale na lata (2019-2024)</t>
  </si>
  <si>
    <t>Źródło: opracowanie własne na podstawie danych CeZ</t>
  </si>
  <si>
    <t>Wykres 3.1: Liczba dorosłych pacjentów (w mln), którzy mieli udzielone świadczenia z rozpoznaniem głównym cukrzycy (słupki) oraz liczba dorosłych pacjentów (w mln), którzy wykupili refundowane leki stosowane w leczeniu cukrzycy lub refundowane paski do oznaczania poziomu glukozy we krwi (linia) w podziale na lata (2014-2024)</t>
  </si>
  <si>
    <t>Liczba pacjentów, którzy mieli udzielone świadczenia z powodu cukrzycy (w mln)</t>
  </si>
  <si>
    <t>Liczba pacjentów, którzy wykupili leki lub paski (w mln)</t>
  </si>
  <si>
    <t>Liczba dorosłych pacjentów (w mln), którzy mieli udzielone świadczenia z rozpoznaniem głównym cukrzycy (słupki) oraz liczba dorosłych pacjentów (w mln), którzy wykupili refundowane leki stosowane w...</t>
  </si>
  <si>
    <t>Tabela 3.1: Informacja o realizacji recept wśród osób dorosłych na refundowane leki stosowane w cukrzycy oraz refundowane paski do oznaczania poziomu glukozy we krwi (2014-2024)</t>
  </si>
  <si>
    <t>Liczba pacjentów, którzy chociaż raz kupili leki lub paski (w mln)</t>
  </si>
  <si>
    <t>Odsetek osób, które kupiły leki lub paski przynajmniej 3 razy w roku</t>
  </si>
  <si>
    <t>Liczba pacjentów, którzy w poprzednim roku nie kupowali leków lub pasków (w tys.)</t>
  </si>
  <si>
    <t>Liczba pacjentek, które wykupiły leki lub paski i miały w danym roku udzielone świadczenie z rozpoznaniem z grupy ciąża, poród, połóg (w tys.)</t>
  </si>
  <si>
    <t>Informacja o realizacji recept wśród osób dorosłych na refundowane leki stosowane w cukrzycy oraz refundowane paski do oznaczania poziomu glukozy we krwi (2014-2024)</t>
  </si>
  <si>
    <t>Tabela 3.2: Struktura demograficzna pacjentów, którzy chociaż raz w roku wykupili refundowane leki stosowane w cukrzycy lub refundowane paski do oznaczania poziomu glukozy we krwi (2014-2024)</t>
  </si>
  <si>
    <t>&lt;18</t>
  </si>
  <si>
    <t>18-34</t>
  </si>
  <si>
    <t>35-54</t>
  </si>
  <si>
    <t>55-74</t>
  </si>
  <si>
    <t>75+</t>
  </si>
  <si>
    <t>Procent kobiet</t>
  </si>
  <si>
    <t>0.8%</t>
  </si>
  <si>
    <t>3.9%</t>
  </si>
  <si>
    <t>14.8%</t>
  </si>
  <si>
    <t>51.0%</t>
  </si>
  <si>
    <t>29.5%</t>
  </si>
  <si>
    <t>54.3%</t>
  </si>
  <si>
    <t>4.2%</t>
  </si>
  <si>
    <t>52.2%</t>
  </si>
  <si>
    <t>28.0%</t>
  </si>
  <si>
    <t>54.9%</t>
  </si>
  <si>
    <t>4.4%</t>
  </si>
  <si>
    <t>14.6%</t>
  </si>
  <si>
    <t>53.3%</t>
  </si>
  <si>
    <t>26.9%</t>
  </si>
  <si>
    <t>55.5%</t>
  </si>
  <si>
    <t>0.7%</t>
  </si>
  <si>
    <t>4.5%</t>
  </si>
  <si>
    <t>14.0%</t>
  </si>
  <si>
    <t>54.2%</t>
  </si>
  <si>
    <t>26.5%</t>
  </si>
  <si>
    <t>55.9%</t>
  </si>
  <si>
    <t>13.2%</t>
  </si>
  <si>
    <t>55.2%</t>
  </si>
  <si>
    <t>26.6%</t>
  </si>
  <si>
    <t>13.1%</t>
  </si>
  <si>
    <t>55.4%</t>
  </si>
  <si>
    <t>55.6%</t>
  </si>
  <si>
    <t>4.0%</t>
  </si>
  <si>
    <t>12.6%</t>
  </si>
  <si>
    <t>27.1%</t>
  </si>
  <si>
    <t>0.6%</t>
  </si>
  <si>
    <t>3.7%</t>
  </si>
  <si>
    <t>12.2%</t>
  </si>
  <si>
    <t>55.8%</t>
  </si>
  <si>
    <t>27.6%</t>
  </si>
  <si>
    <t>3.5%</t>
  </si>
  <si>
    <t>12.0%</t>
  </si>
  <si>
    <t>3.2%</t>
  </si>
  <si>
    <t>56.0%</t>
  </si>
  <si>
    <t>28.1%</t>
  </si>
  <si>
    <t>3.1%</t>
  </si>
  <si>
    <t>12.1%</t>
  </si>
  <si>
    <t>28.2%</t>
  </si>
  <si>
    <t>Struktura demograficzna pacjentów, którzy chociaż raz w roku wykupili refundowane leki stosowane w cukrzycy lub refundowane paski do oznaczania poziomu glukozy we krwi (2014-2024)</t>
  </si>
  <si>
    <t>Tabela 3.3: Wartość refundacji świadczeń udzielonych z rozpoznaniem głównym cukrzycy, leków stosowanych w cukrzycy oraz pasków do oznaczania poziomu glukozy we krwi (2014-2024)</t>
  </si>
  <si>
    <t>Liczba pozycji recepty - dorośli (w mln)</t>
  </si>
  <si>
    <t>Wartość refundacji recept - dorośli (w mln)</t>
  </si>
  <si>
    <t>Wartość refundacji recept - dzieci (w mln)</t>
  </si>
  <si>
    <t>Wartość refundacji świadczeń udzielonych z powodu cukrzycy - dorośli (w mln)</t>
  </si>
  <si>
    <t>Wartość refundacji świadczeń udzielonych z powodu cukrzycy - dzieci (w mln)</t>
  </si>
  <si>
    <t>Wartość refundacji świadczeń udzielonych z rozpoznaniem głównym cukrzycy, leków stosowanych w cukrzycy oraz pasków do oznaczania poziomu glukozy we krwi (2014-2024)</t>
  </si>
  <si>
    <t>Tabela 3.4: Hospitalizacje ze sprawozdaną procedurą ICD-9 oznaczającą dużą amputację u dorosłych pacjentów z cukrzycą (2014-2024)</t>
  </si>
  <si>
    <t>Liczba hospitalizowanych pacjentów (w tys.)</t>
  </si>
  <si>
    <t>Koszt hospitalizacji (w mln zł)</t>
  </si>
  <si>
    <t>Hospitalizacje ze sprawozdaną procedurą ICD-9 oznaczającą dużą amputację u dorosłych pacjentów z cukrzycą (2014-2024)</t>
  </si>
  <si>
    <t>Tabela 3.5: Absencja chorobowa z tytułu choroby własnej w latach 2014-2024 z powodu cukrzycy i owrzodzenia kończyn dolnych</t>
  </si>
  <si>
    <t>Cukrzyca – liczba dni absencji chorobowej (w tys.)</t>
  </si>
  <si>
    <t>Cukrzyca – liczba zaświadczeń lekarskich (w tys.)</t>
  </si>
  <si>
    <t>Cukrzyca – przeciętna długość zwolnienia (w dniach)</t>
  </si>
  <si>
    <t>Owrzodzenie kończyny dolnej – liczba dni absencji chorobowej (w tys.)</t>
  </si>
  <si>
    <t>Owrzodzenie kończyny dolnej – liczba zaświadczeń lekarskich (w tys.)</t>
  </si>
  <si>
    <t>Owrzodzenie kończyny dolnej – przeciętna długość zwolnienia (w dniach)</t>
  </si>
  <si>
    <t>Absencja chorobowa z tytułu choroby własnej w latach 2014-2024 z powodu cukrzycy i owrzodzenia kończyn dolnych</t>
  </si>
  <si>
    <t>Źródło: opracowanie własne na podstawie danych ZUS</t>
  </si>
  <si>
    <t>Tabela 3.6: Szacowana wartość refundacji leczenia cukrzycy typu 2 u dorosłych osób otyłych, lata 2014-2024</t>
  </si>
  <si>
    <t>Dolna granica 95% przedziału ufności (w mld zł)</t>
  </si>
  <si>
    <t>Górna granica 95% przedziału ufności (w mld zł)</t>
  </si>
  <si>
    <t>Średnie koszty refundacji (w mld zł)</t>
  </si>
  <si>
    <t>Szacowana wartość refundacji leczenia cukrzycy typu 2 u dorosłych osób otyłych, lata 2014-2024</t>
  </si>
  <si>
    <t>Tabela 3.7: Świadczenia udzielone osobom dorosłym w latach 2014-2024 z powodu chorób woreczka żółciowego</t>
  </si>
  <si>
    <t>Świadczenia udzielone osobom dorosłym w latach 2014-2024 z powodu chorób woreczka żółciowego</t>
  </si>
  <si>
    <t>Tabela 3.8: Absencja chorobowa z tytułu choroby własnej w latach 2014-2024 z powodu chorób pęcherzyka żółciowego i dróg żółciowych</t>
  </si>
  <si>
    <t>Liczba dni absencji chorobowej (w tys.)</t>
  </si>
  <si>
    <t>Liczba zaświadczeń lekarskich (w tys.)</t>
  </si>
  <si>
    <t>Przeciętna długość zwolnienia (w dniach)</t>
  </si>
  <si>
    <t>Absencja chorobowa z tytułu choroby własnej w latach 2014-2024 z powodu chorób pęcherzyka żółciowego i dróg żółciowych</t>
  </si>
  <si>
    <t>Tabela 3.9: Świadczenia udzielone w latach 2014-2024 osobom dorosłym z powodu dyslipidemii</t>
  </si>
  <si>
    <t>Świadczenia udzielone w latach 2014-2024 osobom dorosłym z powodu dyslipidemii</t>
  </si>
  <si>
    <t>Wykres 3.2: Liczba dorosłych pacjentów, którzy wykupili refundowane leki zmniejszające stężenie lipidów w podziale na lata (2014-2024)</t>
  </si>
  <si>
    <t>Liczba pacjentów (w mln)</t>
  </si>
  <si>
    <t>Liczba dorosłych pacjentów, którzy wykupili refundowane leki zmniejszające stężenie lipidów w podziale na lata (2014-2024)</t>
  </si>
  <si>
    <t>Tabela 3.10: Absencja chorobowa z tytułu choroby własnej w latach 2014-2024 z powodu dyslipidemii</t>
  </si>
  <si>
    <t>Absencja chorobowa z tytułu choroby własnej w latach 2014-2024 z powodu dyslipidemii</t>
  </si>
  <si>
    <t>Tabela 3.11: Szacowana wartość refundacji leczenia dyslipidemii u dorosłych osób otyłych, lata 2014-2024</t>
  </si>
  <si>
    <t>Dolna granica 95% przedziału ufności (w mln zł)</t>
  </si>
  <si>
    <t>Górna granica 95% przedziału ufności (w mln zł)</t>
  </si>
  <si>
    <t>Średnie koszty refundacji (w mln zł)</t>
  </si>
  <si>
    <t>Szacowana wartość refundacji leczenia dyslipidemii u dorosłych osób otyłych, lata 2014-2024</t>
  </si>
  <si>
    <t>Tabela 3.12: Świadczenia udzielone w latach 2014-2024 osobom dorosłym z powodu bezdechu sennego</t>
  </si>
  <si>
    <t>Świadczenia udzielone w latach 2014-2024 osobom dorosłym z powodu bezdechu sennego</t>
  </si>
  <si>
    <t>Tabela 3.13: Szacunkowe koszty refundacji leczenia bezdechu sennego u dorosłych osób otyłych, lata 2014-2024</t>
  </si>
  <si>
    <t>Szacunkowe koszty refundacji leczenia bezdechu sennego u dorosłych osób otyłych, lata 2014-2024</t>
  </si>
  <si>
    <t>Wykres 3.3: Liczba dorosłych pacjentów (słupki), którym udzielono świadczenia i liczba hospitalizacji (linia) dorosłych osób z rozpoznaniem głównym nadciśnienia tętniczego, lata 2014-2024</t>
  </si>
  <si>
    <t>Liczba dorosłych pacjentów (słupki), którym udzielono świadczenia i liczba hospitalizacji (linia) dorosłych osób z rozpoznaniem głównym nadciśnienia tętniczego, lata 2014-2024</t>
  </si>
  <si>
    <t>Tabela 3.14: Liczba dorosłych pacjentów, świadczeń oraz kwota refundacji świadczeń udzielonych dorosłym pacjentom z rozpoznaniem głównym nadciśnienia tętniczego wg rodzaju świadczenia (2024)</t>
  </si>
  <si>
    <t>Rodzaj świadczeń</t>
  </si>
  <si>
    <t>Liczba świadczeń (w mln)</t>
  </si>
  <si>
    <t>Wartość refundacji świadczeń (w mln)</t>
  </si>
  <si>
    <t>Podstawowa opieka zdrowotna</t>
  </si>
  <si>
    <t>Ambulatoryjna opieka specjalistyczna</t>
  </si>
  <si>
    <t>Leczenie szpitalne</t>
  </si>
  <si>
    <t>Ratownictwo medyczne</t>
  </si>
  <si>
    <t>Pozostałe</t>
  </si>
  <si>
    <t>Łącznie</t>
  </si>
  <si>
    <t>Liczba dorosłych pacjentów, świadczeń oraz kwota refundacji świadczeń udzielonych dorosłym pacjentom z rozpoznaniem głównym nadciśnienia tętniczego wg rodzaju świadczenia (2024)</t>
  </si>
  <si>
    <t>W przypadku POZ i ratownictwa medycznego nie podano wartości refundacji z uwagi na ryczałtowy charakter finansowania świadczeń</t>
  </si>
  <si>
    <t>Wartość refundacji świadczeń odnosi się do świadczeń, dla których wartość rozliczonego świadczenia była większa od zera lub świadczenie zostało sprawozdane w ramach ryczałtu PSZ (nie uwzględnia zatem np. stawki kapitacyjnej POZ, świadczeń udzielonych w ramach szpitalnych oddziałów ratunkowych). W przypadku świadczeń rozliczonych w ramach ryczałtu systemu podstawowego szpitalnego zabezpieczenia świadczeń opieki zdrowotnej (PSZ) uwzględniono ich wartość w oparciu o cenę jednostki sprawozdawczej ryczałtu systemu zabezpieczenia obowiązującą w danym okresie rozliczeniowym.</t>
  </si>
  <si>
    <t>Tabela 3.15: Liczba osób poniżej 18. roku życia, które zrealizowały recepty na refundowane leki stosowane w leczeniu nadciśnienia tętniczego, lata 2014-2024</t>
  </si>
  <si>
    <t>Udział pacjentów, dla których zrealizowano co najmniej 2 recepty</t>
  </si>
  <si>
    <t>68%</t>
  </si>
  <si>
    <t>65%</t>
  </si>
  <si>
    <t>66%</t>
  </si>
  <si>
    <t>67%</t>
  </si>
  <si>
    <t>62%</t>
  </si>
  <si>
    <t>61%</t>
  </si>
  <si>
    <t>57%</t>
  </si>
  <si>
    <t>56%</t>
  </si>
  <si>
    <t>54%</t>
  </si>
  <si>
    <t>Liczba osób poniżej 18. roku życia, które zrealizowały recepty na refundowane leki stosowane w leczeniu nadciśnienia tętniczego, lata 2014-2024</t>
  </si>
  <si>
    <t>Tabela 3.16: Liczba osób pełnoletnich, które zrealizowały recepty na refundowane leki stosowane w leczeniu nadciśnienia tętniczego, lata 2014-2024</t>
  </si>
  <si>
    <t>92%</t>
  </si>
  <si>
    <t>91%</t>
  </si>
  <si>
    <t>90%</t>
  </si>
  <si>
    <t>Liczba osób pełnoletnich, które zrealizowały recepty na refundowane leki stosowane w leczeniu nadciśnienia tętniczego, lata 2014-2024</t>
  </si>
  <si>
    <t>Tabela 3.17: Absencja chorobowa z tytułu choroby własnej z powodu nadciśnienia tętniczego w latach 2014-2024</t>
  </si>
  <si>
    <t>Liczba dni absencji chorobowej (w mln)</t>
  </si>
  <si>
    <t>Absencja chorobowa z tytułu choroby własnej z powodu nadciśnienia tętniczego w latach 2014-2024</t>
  </si>
  <si>
    <t>Tabela 3.18: Szacunkowa wartość refundacji leczenia nadciśnienia tętniczego u dorosłych osób otyłych, lata 2014-2024</t>
  </si>
  <si>
    <t>Szacunkowa wartość refundacji leczenia nadciśnienia tętniczego u dorosłych osób otyłych, lata 2014-2024</t>
  </si>
  <si>
    <t>Tabela 3.19: Świadczenia udzielone w latach 2014-2024 osobom dorosłym z powodu zwyrodnienia kolan</t>
  </si>
  <si>
    <t>Świadczenia udzielone w latach 2014-2024 osobom dorosłym z powodu zwyrodnienia kolan</t>
  </si>
  <si>
    <t>Tabela 3.20: Endoprotezoplastyka stawu kolanowego spowodowana chorobą zwyrodnieniową kolan wśród osó dorosłych, lata 2014-2024</t>
  </si>
  <si>
    <t>Odsetek kobiet</t>
  </si>
  <si>
    <t>Liczba zabiegów (w tys.)</t>
  </si>
  <si>
    <t>69%</t>
  </si>
  <si>
    <t>70%</t>
  </si>
  <si>
    <t>72%</t>
  </si>
  <si>
    <t>73%</t>
  </si>
  <si>
    <t>74%</t>
  </si>
  <si>
    <t>75%</t>
  </si>
  <si>
    <t>76%</t>
  </si>
  <si>
    <t>Endoprotezoplastyka stawu kolanowego spowodowana chorobą zwyrodnieniową kolan wśród osó dorosłych, lata 2014-2024</t>
  </si>
  <si>
    <t>Tabela 3.21: Średnia wartość i mediana BMI dorosłych osób poddanych zabiegowi endoprotezoplastyki stawu kolanowego z rozpoznaniem głównym M17 w roku 2024 w podziale na płeć</t>
  </si>
  <si>
    <t>Płeć</t>
  </si>
  <si>
    <t>Średnia wartość BMI</t>
  </si>
  <si>
    <t>Mediana wartości BMI</t>
  </si>
  <si>
    <t>kobiety</t>
  </si>
  <si>
    <t>mężczyźni</t>
  </si>
  <si>
    <t>Średnia wartość i mediana BMI dorosłych osób poddanych zabiegowi endoprotezoplastyki stawu kolanowego z rozpoznaniem głównym M17 w roku 2024 w podziale na płeć</t>
  </si>
  <si>
    <t>Wykres 3.4: Struktura kategorii BMI wśród dorosłych pacjentów, którzy przeszli zabieg endoprotezoplastyki stawu kolanowego spowodowany chorobą zwyrodnieniową kolan w roku 2024, w podziale na płeć</t>
  </si>
  <si>
    <t>Kategoria BMI</t>
  </si>
  <si>
    <t>Liczba zabiegów</t>
  </si>
  <si>
    <t>Odsetek zabiegów</t>
  </si>
  <si>
    <t>Kobiety</t>
  </si>
  <si>
    <t>Masa ciała w normie</t>
  </si>
  <si>
    <t>Mężczyźni</t>
  </si>
  <si>
    <t>Struktura kategorii BMI wśród dorosłych pacjentów, którzy przeszli zabieg endoprotezoplastyki stawu kolanowego spowodowany chorobą zwyrodnieniową kolan w roku 2024, w podziale na płeć</t>
  </si>
  <si>
    <t>Wykres 3.5: Struktura kategorii BMI wśród pacjentów, którzy przeszli zabieg endoprotezoplastyki stawu kolanowego spowodowany chorobą zwyrodnieniową kolan w roku 2024, w podziale na płeć i grupy wiekowe</t>
  </si>
  <si>
    <t>Grupa wiekowa</t>
  </si>
  <si>
    <t>19-34</t>
  </si>
  <si>
    <t>35-44</t>
  </si>
  <si>
    <t>45-54</t>
  </si>
  <si>
    <t>55-64</t>
  </si>
  <si>
    <t>65-74</t>
  </si>
  <si>
    <t>Struktura kategorii BMI wśród pacjentów, którzy przeszli zabieg endoprotezoplastyki stawu kolanowego spowodowany chorobą zwyrodnieniową kolan w roku 2024, w podziale na płeć i grupy wiekowe</t>
  </si>
  <si>
    <t>Tabela 3.22: Dane na temat zabiegów endoprotezoplastyki stawu kolanowego spowodowanych chorobą zwyrodnieniową kolan w roku 2024 wśród dorosłych osób otyłych</t>
  </si>
  <si>
    <t>Dane na temat zabiegów endoprotezoplastyki stawu kolanowego spowodowanych chorobą zwyrodnieniową kolan w roku 2024 wśród dorosłych osób otyłych</t>
  </si>
  <si>
    <t>Wartość refundacji świadczeń odnosi się do świadczeń, dla których wartość rozliczonego świadczenia była większa od zera lub świadczenie zostało sprawozdane w ramach ryczałtu PSZ. W przypadku świadczeń rozliczonych w ramach ryczałtu systemu podstawowego szpitalnego zabezpieczenia świadczeń opieki zdrowotnej (PSZ) uwzględniono ich wartość w oparciu o cenę jednostki sprawozdawczej ryczałtu systemu zabezpieczenia obowiązującą w danym okresie rozliczeniowym.</t>
  </si>
  <si>
    <t>Tabela 3.23: Odsetek dorosłych pacjentów chorych na wybrane choroby wśród wszystkich pacjentów poddanych zabiegowi endoprotezoplastyki stawu kolanowego spowodowanego chorobą zwyrodnieniową kolan w 2024 roku, w podziale na kategorie BMI</t>
  </si>
  <si>
    <t>Odsetek pacjentów z cukrzycą</t>
  </si>
  <si>
    <t>Odsetek pacjentów z nadciśnieniem tętniczym</t>
  </si>
  <si>
    <t>Odsetek pacjentów z dyslipidemią</t>
  </si>
  <si>
    <t>Waga w normie</t>
  </si>
  <si>
    <t>Odsetek dorosłych pacjentów chorych na wybrane choroby wśród wszystkich pacjentów poddanych zabiegowi endoprotezoplastyki stawu kolanowego spowodowanego chorobą zwyrodnieniową kolan w 2024 roku, w ...</t>
  </si>
  <si>
    <t>Tabela 3.24: Absencja chorobowa z tytułu choroby własnej w latach 2014-2024 z powodu zwyrodnienia kolan</t>
  </si>
  <si>
    <t>Absencja chorobowa z tytułu choroby własnej w latach 2014-2024 z powodu zwyrodnienia kolan</t>
  </si>
  <si>
    <t>Tabela 3.25: Świadczenia udzielone osobom dorosłym w latach 2014-2024 z powodu stłuszczenia wątroby</t>
  </si>
  <si>
    <t>Świadczenia udzielone osobom dorosłym w latach 2014-2024 z powodu stłuszczenia wątroby</t>
  </si>
  <si>
    <t>Tabela 3.26: Szacowana wartość refundacji leczenia stłuszczenia wątroby u dorosłych osób otyłych, lata 2014-2024</t>
  </si>
  <si>
    <t>Szacowana wartość refundacji leczenia stłuszczenia wątroby u dorosłych osób otyłych, lata 2014-2024</t>
  </si>
  <si>
    <t>Tabela 3.27: Wartość refundacji leczenia wybranych konsekwencji otyłości u dorosłych osób otyłych, 2024 rok.</t>
  </si>
  <si>
    <t>Choroba</t>
  </si>
  <si>
    <t>Wartość refundacji świadczeń * (w mln zł)</t>
  </si>
  <si>
    <t>Szacowana liczba przypadków związana z otyłością (w mln)</t>
  </si>
  <si>
    <t>Średnia wartość refundacji świadczeń i leków (oraz pasków w przypadku cukrzycy) możliwy do przypisania otyłości (w mln zł)</t>
  </si>
  <si>
    <t>Dolna granica 95% przedziału ufności wartości refundacji świadczeń i leków (w mln zł)</t>
  </si>
  <si>
    <t>Górna granica 95% przedziału ufności wartości refundacji świadczeń i leków (w mln zł)</t>
  </si>
  <si>
    <t>Cukrzyca typu 2</t>
  </si>
  <si>
    <t>Nadciśnienie tętnicze</t>
  </si>
  <si>
    <t>Dyslipidemia</t>
  </si>
  <si>
    <t>Zwyrodnienie kolan wymagające endoprotezoplastyki</t>
  </si>
  <si>
    <t>Bezdech senny</t>
  </si>
  <si>
    <t>Stłuszczenie wątroby</t>
  </si>
  <si>
    <t>Wartość refundacji leczenia wybranych konsekwencji otyłości u dorosłych osób otyłych, 2024 rok.</t>
  </si>
  <si>
    <t>*W przypadku cukrzycy uwzględniono dodatkowo wartość refundacji leków i pasków do oznaczania glukozy, a w przypadku nadciśnienia tętniczego i dyslipidemii uwzględniono dodatkowo wartość refundacji leków.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</si>
</sst>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.0%"/>
    <numFmt numFmtId="165" formatCode="#,##0.0"/>
  </numFmts>
  <fonts count="7" x14ac:knownFonts="1">
    <font>
      <sz val="11"/>
      <color rgb="FF000000"/>
      <name val="Calibri"/>
      <family val="2"/>
      <scheme val="minor"/>
    </font>
    <font>
      <b/>
      <sz val="12"/>
      <color rgb="FFFFFFFF"/>
      <name val="Calibri"/>
    </font>
    <font>
      <sz val="11"/>
      <color rgb="FF000000"/>
      <name val="Calibri"/>
    </font>
    <font>
      <b/>
      <sz val="18"/>
      <color rgb="FFFFFFFF"/>
      <name val="Calibri"/>
    </font>
    <font>
      <b/>
      <sz val="11"/>
      <color rgb="FFFFFFFF"/>
      <name val="Calibri"/>
    </font>
    <font>
      <u/>
      <sz val="11"/>
      <color theme="10"/>
      <name val="Calibri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61474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20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0" fontId="1" fillId="2" borderId="2" xfId="0" applyFont="1" applyFill="1" applyBorder="1"/>
    <xf numFmtId="0" fontId="2" fillId="0" borderId="2" xfId="0" applyFont="1" applyBorder="1"/>
    <xf numFmtId="0" fontId="2" fillId="0" borderId="5" xfId="0" applyFont="1" applyBorder="1"/>
    <xf numFmtId="0" fontId="4" fillId="2" borderId="6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5" fillId="0" borderId="0" xfId="0" applyFont="1"/>
    <xf numFmtId="164" fontId="2" fillId="0" borderId="2" xfId="0" applyNumberFormat="1" applyFont="1" applyBorder="1"/>
    <xf numFmtId="164" fontId="2" fillId="0" borderId="5" xfId="0" applyNumberFormat="1" applyFont="1" applyBorder="1"/>
    <xf numFmtId="164" fontId="2" fillId="0" borderId="2" xfId="0" applyNumberFormat="1" applyFont="1" applyBorder="1"/>
    <xf numFmtId="164" fontId="2" fillId="0" borderId="5" xfId="0" applyNumberFormat="1" applyFont="1" applyBorder="1"/>
    <xf numFmtId="164" fontId="2" fillId="0" borderId="2" xfId="0" applyNumberFormat="1" applyFont="1" applyBorder="1"/>
    <xf numFmtId="164" fontId="2" fillId="0" borderId="5" xfId="0" applyNumberFormat="1" applyFont="1" applyBorder="1"/>
    <xf numFmtId="164" fontId="2" fillId="0" borderId="2" xfId="0" applyNumberFormat="1" applyFont="1" applyBorder="1"/>
    <xf numFmtId="165" fontId="2" fillId="0" borderId="0" xfId="0" applyNumberFormat="1" applyFont="1"/>
    <xf numFmtId="44" fontId="2" fillId="0" borderId="2" xfId="0" applyNumberFormat="1" applyFont="1" applyBorder="1"/>
    <xf numFmtId="165" fontId="2" fillId="0" borderId="8" xfId="0" applyNumberFormat="1" applyFont="1" applyBorder="1"/>
    <xf numFmtId="44" fontId="2" fillId="0" borderId="5" xfId="0" applyNumberFormat="1" applyFont="1" applyBorder="1"/>
    <xf numFmtId="3" fontId="2" fillId="0" borderId="2" xfId="0" applyNumberFormat="1" applyFont="1" applyBorder="1"/>
    <xf numFmtId="3" fontId="2" fillId="0" borderId="5" xfId="0" applyNumberFormat="1" applyFont="1" applyBorder="1"/>
    <xf numFmtId="3" fontId="2" fillId="0" borderId="0" xfId="0" applyNumberFormat="1" applyFont="1"/>
    <xf numFmtId="3" fontId="2" fillId="0" borderId="2" xfId="0" applyNumberFormat="1" applyFont="1" applyBorder="1"/>
    <xf numFmtId="3" fontId="2" fillId="0" borderId="5" xfId="0" applyNumberFormat="1" applyFont="1" applyBorder="1"/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/>
    <xf numFmtId="164" fontId="2" fillId="0" borderId="0" xfId="0" applyNumberFormat="1" applyFont="1"/>
    <xf numFmtId="165" fontId="2" fillId="0" borderId="2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/>
    <xf numFmtId="165" fontId="2" fillId="0" borderId="5" xfId="0" applyNumberFormat="1" applyFont="1" applyBorder="1"/>
    <xf numFmtId="164" fontId="2" fillId="0" borderId="2" xfId="0" applyNumberFormat="1" applyFont="1" applyBorder="1"/>
    <xf numFmtId="164" fontId="2" fillId="0" borderId="5" xfId="0" applyNumberFormat="1" applyFont="1" applyBorder="1"/>
    <xf numFmtId="165" fontId="2" fillId="0" borderId="0" xfId="0" applyNumberFormat="1" applyFont="1"/>
    <xf numFmtId="44" fontId="2" fillId="0" borderId="0" xfId="0" applyNumberFormat="1" applyFont="1"/>
    <xf numFmtId="165" fontId="2" fillId="0" borderId="8" xfId="0" applyNumberFormat="1" applyFont="1" applyBorder="1"/>
    <xf numFmtId="44" fontId="2" fillId="0" borderId="8" xfId="0" applyNumberFormat="1" applyFont="1" applyBorder="1"/>
    <xf numFmtId="165" fontId="2" fillId="0" borderId="0" xfId="0" applyNumberFormat="1" applyFont="1"/>
    <xf numFmtId="165" fontId="2" fillId="0" borderId="8" xfId="0" applyNumberFormat="1" applyFont="1" applyBorder="1"/>
    <xf numFmtId="165" fontId="2" fillId="0" borderId="0" xfId="0" applyNumberFormat="1" applyFont="1"/>
    <xf numFmtId="165" fontId="2" fillId="0" borderId="8" xfId="0" applyNumberFormat="1" applyFont="1" applyBorder="1"/>
    <xf numFmtId="165" fontId="2" fillId="0" borderId="0" xfId="0" applyNumberFormat="1" applyFont="1"/>
    <xf numFmtId="165" fontId="2" fillId="0" borderId="8" xfId="0" applyNumberFormat="1" applyFont="1" applyBorder="1"/>
    <xf numFmtId="165" fontId="2" fillId="0" borderId="0" xfId="0" applyNumberFormat="1" applyFont="1"/>
    <xf numFmtId="165" fontId="2" fillId="0" borderId="8" xfId="0" applyNumberFormat="1" applyFont="1" applyBorder="1"/>
    <xf numFmtId="165" fontId="2" fillId="0" borderId="0" xfId="0" applyNumberFormat="1" applyFont="1"/>
    <xf numFmtId="165" fontId="2" fillId="0" borderId="8" xfId="0" applyNumberFormat="1" applyFont="1" applyBorder="1"/>
    <xf numFmtId="165" fontId="2" fillId="0" borderId="2" xfId="0" applyNumberFormat="1" applyFont="1" applyBorder="1"/>
    <xf numFmtId="165" fontId="2" fillId="0" borderId="5" xfId="0" applyNumberFormat="1" applyFont="1" applyBorder="1"/>
    <xf numFmtId="165" fontId="2" fillId="0" borderId="0" xfId="0" applyNumberFormat="1" applyFont="1"/>
    <xf numFmtId="165" fontId="2" fillId="0" borderId="8" xfId="0" applyNumberFormat="1" applyFont="1" applyBorder="1"/>
    <xf numFmtId="165" fontId="2" fillId="0" borderId="0" xfId="0" applyNumberFormat="1" applyFont="1"/>
    <xf numFmtId="165" fontId="2" fillId="0" borderId="8" xfId="0" applyNumberFormat="1" applyFont="1" applyBorder="1"/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8" xfId="0" applyNumberFormat="1" applyFont="1" applyBorder="1"/>
    <xf numFmtId="165" fontId="2" fillId="0" borderId="5" xfId="0" applyNumberFormat="1" applyFont="1" applyBorder="1"/>
    <xf numFmtId="165" fontId="2" fillId="0" borderId="0" xfId="0" applyNumberFormat="1" applyFont="1"/>
    <xf numFmtId="165" fontId="2" fillId="0" borderId="8" xfId="0" applyNumberFormat="1" applyFont="1" applyBorder="1"/>
    <xf numFmtId="165" fontId="2" fillId="0" borderId="0" xfId="0" applyNumberFormat="1" applyFont="1"/>
    <xf numFmtId="165" fontId="2" fillId="0" borderId="8" xfId="0" applyNumberFormat="1" applyFont="1" applyBorder="1"/>
    <xf numFmtId="165" fontId="2" fillId="0" borderId="0" xfId="0" applyNumberFormat="1" applyFont="1"/>
    <xf numFmtId="165" fontId="2" fillId="0" borderId="8" xfId="0" applyNumberFormat="1" applyFont="1" applyBorder="1"/>
    <xf numFmtId="165" fontId="2" fillId="0" borderId="0" xfId="0" applyNumberFormat="1" applyFont="1"/>
    <xf numFmtId="165" fontId="2" fillId="0" borderId="8" xfId="0" applyNumberFormat="1" applyFont="1" applyBorder="1"/>
    <xf numFmtId="165" fontId="2" fillId="0" borderId="0" xfId="0" applyNumberFormat="1" applyFont="1"/>
    <xf numFmtId="165" fontId="2" fillId="0" borderId="8" xfId="0" applyNumberFormat="1" applyFont="1" applyBorder="1"/>
    <xf numFmtId="165" fontId="2" fillId="0" borderId="0" xfId="0" applyNumberFormat="1" applyFont="1"/>
    <xf numFmtId="164" fontId="2" fillId="0" borderId="0" xfId="0" applyNumberFormat="1" applyFont="1"/>
    <xf numFmtId="165" fontId="2" fillId="0" borderId="8" xfId="0" applyNumberFormat="1" applyFont="1" applyBorder="1"/>
    <xf numFmtId="164" fontId="2" fillId="0" borderId="8" xfId="0" applyNumberFormat="1" applyFont="1" applyBorder="1"/>
    <xf numFmtId="3" fontId="2" fillId="0" borderId="0" xfId="0" applyNumberFormat="1" applyFont="1"/>
    <xf numFmtId="164" fontId="2" fillId="0" borderId="2" xfId="0" applyNumberFormat="1" applyFont="1" applyBorder="1"/>
    <xf numFmtId="3" fontId="2" fillId="0" borderId="8" xfId="0" applyNumberFormat="1" applyFont="1" applyBorder="1"/>
    <xf numFmtId="164" fontId="2" fillId="0" borderId="5" xfId="0" applyNumberFormat="1" applyFont="1" applyBorder="1"/>
    <xf numFmtId="164" fontId="2" fillId="0" borderId="2" xfId="0" applyNumberFormat="1" applyFont="1" applyBorder="1"/>
    <xf numFmtId="164" fontId="2" fillId="0" borderId="5" xfId="0" applyNumberFormat="1" applyFont="1" applyBorder="1"/>
    <xf numFmtId="165" fontId="2" fillId="0" borderId="8" xfId="0" applyNumberFormat="1" applyFont="1" applyBorder="1"/>
    <xf numFmtId="165" fontId="2" fillId="0" borderId="7" xfId="0" applyNumberFormat="1" applyFont="1" applyBorder="1"/>
    <xf numFmtId="3" fontId="2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3" fontId="2" fillId="0" borderId="8" xfId="0" applyNumberFormat="1" applyFont="1" applyBorder="1"/>
    <xf numFmtId="164" fontId="2" fillId="0" borderId="8" xfId="0" applyNumberFormat="1" applyFont="1" applyBorder="1"/>
    <xf numFmtId="164" fontId="2" fillId="0" borderId="5" xfId="0" applyNumberFormat="1" applyFont="1" applyBorder="1"/>
    <xf numFmtId="165" fontId="2" fillId="0" borderId="0" xfId="0" applyNumberFormat="1" applyFont="1"/>
    <xf numFmtId="165" fontId="2" fillId="0" borderId="8" xfId="0" applyNumberFormat="1" applyFont="1" applyBorder="1"/>
    <xf numFmtId="165" fontId="2" fillId="0" borderId="0" xfId="0" applyNumberFormat="1" applyFont="1"/>
    <xf numFmtId="165" fontId="2" fillId="0" borderId="8" xfId="0" applyNumberFormat="1" applyFont="1" applyBorder="1"/>
    <xf numFmtId="165" fontId="2" fillId="0" borderId="8" xfId="0" applyNumberFormat="1" applyFont="1" applyBorder="1"/>
    <xf numFmtId="0" fontId="5" fillId="0" borderId="7" xfId="0" applyFont="1" applyBorder="1"/>
    <xf numFmtId="9" fontId="0" fillId="0" borderId="0" xfId="2" applyFont="1"/>
    <xf numFmtId="9" fontId="2" fillId="0" borderId="2" xfId="2" applyFont="1" applyBorder="1"/>
    <xf numFmtId="9" fontId="2" fillId="0" borderId="8" xfId="2" applyFont="1" applyBorder="1"/>
    <xf numFmtId="9" fontId="2" fillId="0" borderId="5" xfId="2" applyFont="1" applyBorder="1"/>
    <xf numFmtId="44" fontId="2" fillId="0" borderId="2" xfId="1" applyFont="1" applyBorder="1"/>
    <xf numFmtId="44" fontId="2" fillId="0" borderId="5" xfId="1" applyFont="1" applyBorder="1"/>
    <xf numFmtId="0" fontId="2" fillId="0" borderId="0" xfId="0" applyFont="1" applyBorder="1"/>
    <xf numFmtId="0" fontId="0" fillId="0" borderId="0" xfId="0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2" fillId="0" borderId="13" xfId="0" applyFont="1" applyBorder="1"/>
    <xf numFmtId="0" fontId="0" fillId="0" borderId="14" xfId="0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2" borderId="3" xfId="0" applyFont="1" applyFill="1" applyBorder="1"/>
    <xf numFmtId="0" fontId="3" fillId="2" borderId="4" xfId="0" applyFont="1" applyFill="1" applyBorder="1"/>
    <xf numFmtId="165" fontId="2" fillId="0" borderId="0" xfId="0" applyNumberFormat="1" applyFont="1" applyBorder="1"/>
    <xf numFmtId="3" fontId="2" fillId="0" borderId="0" xfId="0" applyNumberFormat="1" applyFont="1" applyBorder="1"/>
    <xf numFmtId="4" fontId="2" fillId="0" borderId="0" xfId="0" applyNumberFormat="1" applyFont="1"/>
    <xf numFmtId="4" fontId="2" fillId="0" borderId="8" xfId="0" applyNumberFormat="1" applyFont="1" applyBorder="1"/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443022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443022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758171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443022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5758171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5758171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443022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3000423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443022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443022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443022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758171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443022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758171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7"/>
  <sheetViews>
    <sheetView tabSelected="1" workbookViewId="0">
      <selection sqref="A1:B1"/>
    </sheetView>
  </sheetViews>
  <sheetFormatPr defaultColWidth="11.42578125" defaultRowHeight="15" x14ac:dyDescent="0.25"/>
  <cols>
    <col min="1" max="1" width="12.7109375" customWidth="1"/>
    <col min="2" max="2" width="192.7109375" customWidth="1"/>
  </cols>
  <sheetData>
    <row r="1" spans="1:2" ht="23.25" x14ac:dyDescent="0.35">
      <c r="A1" s="114" t="s">
        <v>0</v>
      </c>
      <c r="B1" s="115"/>
    </row>
    <row r="2" spans="1:2" x14ac:dyDescent="0.25">
      <c r="A2" s="2"/>
      <c r="B2" s="4"/>
    </row>
    <row r="3" spans="1:2" ht="15.75" x14ac:dyDescent="0.25">
      <c r="A3" s="1" t="s">
        <v>1</v>
      </c>
      <c r="B3" s="3" t="s">
        <v>2</v>
      </c>
    </row>
    <row r="4" spans="1:2" x14ac:dyDescent="0.25">
      <c r="A4" s="11" t="str">
        <f>HYPERLINK("#'Tabela 1.1'!A1", "Tabela 1.1")</f>
        <v>Tabela 1.1</v>
      </c>
      <c r="B4" s="4" t="s">
        <v>12</v>
      </c>
    </row>
    <row r="5" spans="1:2" x14ac:dyDescent="0.25">
      <c r="A5" s="11" t="str">
        <f>HYPERLINK("#'Tabela 1.2'!A1", "Tabela 1.2")</f>
        <v>Tabela 1.2</v>
      </c>
      <c r="B5" s="4" t="s">
        <v>18</v>
      </c>
    </row>
    <row r="6" spans="1:2" x14ac:dyDescent="0.25">
      <c r="A6" s="11" t="str">
        <f>HYPERLINK("#'Wykres 1.1'!A1", "Wykres 1.1")</f>
        <v>Wykres 1.1</v>
      </c>
      <c r="B6" s="4" t="s">
        <v>53</v>
      </c>
    </row>
    <row r="7" spans="1:2" x14ac:dyDescent="0.25">
      <c r="A7" s="11" t="str">
        <f>HYPERLINK("#'Wykres 1.2'!A1", "Wykres 1.2")</f>
        <v>Wykres 1.2</v>
      </c>
      <c r="B7" s="4" t="s">
        <v>72</v>
      </c>
    </row>
    <row r="8" spans="1:2" x14ac:dyDescent="0.25">
      <c r="A8" s="11" t="str">
        <f>HYPERLINK("#'Wykres 1.3'!A1", "Wykres 1.3")</f>
        <v>Wykres 1.3</v>
      </c>
      <c r="B8" s="4" t="s">
        <v>86</v>
      </c>
    </row>
    <row r="9" spans="1:2" x14ac:dyDescent="0.25">
      <c r="A9" s="11" t="str">
        <f>HYPERLINK("#'Wykres 1.4'!A1", "Wykres 1.4")</f>
        <v>Wykres 1.4</v>
      </c>
      <c r="B9" s="4" t="s">
        <v>97</v>
      </c>
    </row>
    <row r="10" spans="1:2" x14ac:dyDescent="0.25">
      <c r="A10" s="11" t="str">
        <f>HYPERLINK("#'Wykres 1.5'!A1", "Wykres 1.5")</f>
        <v>Wykres 1.5</v>
      </c>
      <c r="B10" s="4" t="s">
        <v>101</v>
      </c>
    </row>
    <row r="11" spans="1:2" x14ac:dyDescent="0.25">
      <c r="A11" s="11" t="str">
        <f>HYPERLINK("#'Tabela 2.1'!A1", "Tabela 2.1")</f>
        <v>Tabela 2.1</v>
      </c>
      <c r="B11" s="4" t="s">
        <v>107</v>
      </c>
    </row>
    <row r="12" spans="1:2" x14ac:dyDescent="0.25">
      <c r="A12" s="11" t="str">
        <f>HYPERLINK("#'Wykres 2.1'!A1", "Wykres 2.1")</f>
        <v>Wykres 2.1</v>
      </c>
      <c r="B12" s="4" t="s">
        <v>131</v>
      </c>
    </row>
    <row r="13" spans="1:2" x14ac:dyDescent="0.25">
      <c r="A13" s="11" t="str">
        <f>HYPERLINK("#'Wykres 2.2'!A1", "Wykres 2.2")</f>
        <v>Wykres 2.2</v>
      </c>
      <c r="B13" s="4" t="s">
        <v>135</v>
      </c>
    </row>
    <row r="14" spans="1:2" x14ac:dyDescent="0.25">
      <c r="A14" s="11" t="str">
        <f>HYPERLINK("#'Wykres 2.3'!A1", "Wykres 2.3")</f>
        <v>Wykres 2.3</v>
      </c>
      <c r="B14" s="4" t="s">
        <v>140</v>
      </c>
    </row>
    <row r="15" spans="1:2" x14ac:dyDescent="0.25">
      <c r="A15" s="11" t="str">
        <f>HYPERLINK("#'Wykres 2.4'!A1", "Wykres 2.4")</f>
        <v>Wykres 2.4</v>
      </c>
      <c r="B15" s="4" t="s">
        <v>145</v>
      </c>
    </row>
    <row r="16" spans="1:2" x14ac:dyDescent="0.25">
      <c r="A16" s="11" t="str">
        <f>HYPERLINK("#'Wykres 3.1'!A1", "Wykres 3.1")</f>
        <v>Wykres 3.1</v>
      </c>
      <c r="B16" s="4" t="s">
        <v>150</v>
      </c>
    </row>
    <row r="17" spans="1:2" x14ac:dyDescent="0.25">
      <c r="A17" s="11" t="str">
        <f>HYPERLINK("#'Tabela 3.1'!A1", "Tabela 3.1")</f>
        <v>Tabela 3.1</v>
      </c>
      <c r="B17" s="4" t="s">
        <v>156</v>
      </c>
    </row>
    <row r="18" spans="1:2" x14ac:dyDescent="0.25">
      <c r="A18" s="11" t="str">
        <f>HYPERLINK("#'Tabela 3.2'!A1", "Tabela 3.2")</f>
        <v>Tabela 3.2</v>
      </c>
      <c r="B18" s="4" t="s">
        <v>207</v>
      </c>
    </row>
    <row r="19" spans="1:2" x14ac:dyDescent="0.25">
      <c r="A19" s="11" t="str">
        <f>HYPERLINK("#'Tabela 3.3'!A1", "Tabela 3.3")</f>
        <v>Tabela 3.3</v>
      </c>
      <c r="B19" s="4" t="s">
        <v>214</v>
      </c>
    </row>
    <row r="20" spans="1:2" x14ac:dyDescent="0.25">
      <c r="A20" s="11" t="str">
        <f>HYPERLINK("#'Tabela 3.4'!A1", "Tabela 3.4")</f>
        <v>Tabela 3.4</v>
      </c>
      <c r="B20" s="4" t="s">
        <v>218</v>
      </c>
    </row>
    <row r="21" spans="1:2" x14ac:dyDescent="0.25">
      <c r="A21" s="11" t="str">
        <f>HYPERLINK("#'Tabela 3.5'!A1", "Tabela 3.5")</f>
        <v>Tabela 3.5</v>
      </c>
      <c r="B21" s="4" t="s">
        <v>226</v>
      </c>
    </row>
    <row r="22" spans="1:2" x14ac:dyDescent="0.25">
      <c r="A22" s="11" t="str">
        <f>HYPERLINK("#'Tabela 3.6'!A1", "Tabela 3.6")</f>
        <v>Tabela 3.6</v>
      </c>
      <c r="B22" s="4" t="s">
        <v>232</v>
      </c>
    </row>
    <row r="23" spans="1:2" x14ac:dyDescent="0.25">
      <c r="A23" s="11" t="str">
        <f>HYPERLINK("#'Tabela 3.7'!A1", "Tabela 3.7")</f>
        <v>Tabela 3.7</v>
      </c>
      <c r="B23" s="4" t="s">
        <v>234</v>
      </c>
    </row>
    <row r="24" spans="1:2" x14ac:dyDescent="0.25">
      <c r="A24" s="11" t="str">
        <f>HYPERLINK("#'Tabela 3.8'!A1", "Tabela 3.8")</f>
        <v>Tabela 3.8</v>
      </c>
      <c r="B24" s="4" t="s">
        <v>239</v>
      </c>
    </row>
    <row r="25" spans="1:2" x14ac:dyDescent="0.25">
      <c r="A25" s="11" t="str">
        <f>HYPERLINK("#'Tabela 3.9'!A1", "Tabela 3.9")</f>
        <v>Tabela 3.9</v>
      </c>
      <c r="B25" s="4" t="s">
        <v>241</v>
      </c>
    </row>
    <row r="26" spans="1:2" x14ac:dyDescent="0.25">
      <c r="A26" s="11" t="str">
        <f>HYPERLINK("#'Wykres 3.2'!A1", "Wykres 3.2")</f>
        <v>Wykres 3.2</v>
      </c>
      <c r="B26" s="4" t="s">
        <v>244</v>
      </c>
    </row>
    <row r="27" spans="1:2" x14ac:dyDescent="0.25">
      <c r="A27" s="11" t="str">
        <f>HYPERLINK("#'Tabela 3.10'!A1", "Tabela 3.10")</f>
        <v>Tabela 3.10</v>
      </c>
      <c r="B27" s="4" t="s">
        <v>246</v>
      </c>
    </row>
    <row r="28" spans="1:2" x14ac:dyDescent="0.25">
      <c r="A28" s="11" t="str">
        <f>HYPERLINK("#'Tabela 3.11'!A1", "Tabela 3.11")</f>
        <v>Tabela 3.11</v>
      </c>
      <c r="B28" s="4" t="s">
        <v>251</v>
      </c>
    </row>
    <row r="29" spans="1:2" x14ac:dyDescent="0.25">
      <c r="A29" s="11" t="str">
        <f>HYPERLINK("#'Tabela 3.12'!A1", "Tabela 3.12")</f>
        <v>Tabela 3.12</v>
      </c>
      <c r="B29" s="4" t="s">
        <v>253</v>
      </c>
    </row>
    <row r="30" spans="1:2" x14ac:dyDescent="0.25">
      <c r="A30" s="11" t="str">
        <f>HYPERLINK("#'Tabela 3.13'!A1", "Tabela 3.13")</f>
        <v>Tabela 3.13</v>
      </c>
      <c r="B30" s="4" t="s">
        <v>255</v>
      </c>
    </row>
    <row r="31" spans="1:2" x14ac:dyDescent="0.25">
      <c r="A31" s="11" t="str">
        <f>HYPERLINK("#'Wykres 3.3'!A1", "Wykres 3.3")</f>
        <v>Wykres 3.3</v>
      </c>
      <c r="B31" s="4" t="s">
        <v>257</v>
      </c>
    </row>
    <row r="32" spans="1:2" x14ac:dyDescent="0.25">
      <c r="A32" s="11" t="str">
        <f>HYPERLINK("#'Tabela 3.14'!A1", "Tabela 3.14")</f>
        <v>Tabela 3.14</v>
      </c>
      <c r="B32" s="4" t="s">
        <v>268</v>
      </c>
    </row>
    <row r="33" spans="1:2" x14ac:dyDescent="0.25">
      <c r="A33" s="11" t="str">
        <f>HYPERLINK("#'Tabela 3.15'!A1", "Tabela 3.15")</f>
        <v>Tabela 3.15</v>
      </c>
      <c r="B33" s="4" t="s">
        <v>282</v>
      </c>
    </row>
    <row r="34" spans="1:2" x14ac:dyDescent="0.25">
      <c r="A34" s="11" t="str">
        <f>HYPERLINK("#'Tabela 3.16'!A1", "Tabela 3.16")</f>
        <v>Tabela 3.16</v>
      </c>
      <c r="B34" s="4" t="s">
        <v>287</v>
      </c>
    </row>
    <row r="35" spans="1:2" x14ac:dyDescent="0.25">
      <c r="A35" s="11" t="str">
        <f>HYPERLINK("#'Tabela 3.17'!A1", "Tabela 3.17")</f>
        <v>Tabela 3.17</v>
      </c>
      <c r="B35" s="4" t="s">
        <v>290</v>
      </c>
    </row>
    <row r="36" spans="1:2" x14ac:dyDescent="0.25">
      <c r="A36" s="11" t="str">
        <f>HYPERLINK("#'Tabela 3.18'!A1", "Tabela 3.18")</f>
        <v>Tabela 3.18</v>
      </c>
      <c r="B36" s="4" t="s">
        <v>292</v>
      </c>
    </row>
    <row r="37" spans="1:2" x14ac:dyDescent="0.25">
      <c r="A37" s="11" t="str">
        <f>HYPERLINK("#'Tabela 3.19'!A1", "Tabela 3.19")</f>
        <v>Tabela 3.19</v>
      </c>
      <c r="B37" s="4" t="s">
        <v>294</v>
      </c>
    </row>
    <row r="38" spans="1:2" x14ac:dyDescent="0.25">
      <c r="A38" s="11" t="str">
        <f>HYPERLINK("#'Tabela 3.20'!A1", "Tabela 3.20")</f>
        <v>Tabela 3.20</v>
      </c>
      <c r="B38" s="4" t="s">
        <v>305</v>
      </c>
    </row>
    <row r="39" spans="1:2" x14ac:dyDescent="0.25">
      <c r="A39" s="11" t="str">
        <f>HYPERLINK("#'Tabela 3.21'!A1", "Tabela 3.21")</f>
        <v>Tabela 3.21</v>
      </c>
      <c r="B39" s="4" t="s">
        <v>312</v>
      </c>
    </row>
    <row r="40" spans="1:2" x14ac:dyDescent="0.25">
      <c r="A40" s="11" t="str">
        <f>HYPERLINK("#'Wykres 3.4'!A1", "Wykres 3.4")</f>
        <v>Wykres 3.4</v>
      </c>
      <c r="B40" s="4" t="s">
        <v>320</v>
      </c>
    </row>
    <row r="41" spans="1:2" x14ac:dyDescent="0.25">
      <c r="A41" s="11" t="str">
        <f>HYPERLINK("#'Wykres 3.5'!A1", "Wykres 3.5")</f>
        <v>Wykres 3.5</v>
      </c>
      <c r="B41" s="4" t="s">
        <v>328</v>
      </c>
    </row>
    <row r="42" spans="1:2" x14ac:dyDescent="0.25">
      <c r="A42" s="11" t="str">
        <f>HYPERLINK("#'Tabela 3.22'!A1", "Tabela 3.22")</f>
        <v>Tabela 3.22</v>
      </c>
      <c r="B42" s="4" t="s">
        <v>330</v>
      </c>
    </row>
    <row r="43" spans="1:2" x14ac:dyDescent="0.25">
      <c r="A43" s="11" t="str">
        <f>HYPERLINK("#'Tabela 3.23'!A1", "Tabela 3.23")</f>
        <v>Tabela 3.23</v>
      </c>
      <c r="B43" s="4" t="s">
        <v>337</v>
      </c>
    </row>
    <row r="44" spans="1:2" x14ac:dyDescent="0.25">
      <c r="A44" s="11" t="str">
        <f>HYPERLINK("#'Tabela 3.24'!A1", "Tabela 3.24")</f>
        <v>Tabela 3.24</v>
      </c>
      <c r="B44" s="4" t="s">
        <v>339</v>
      </c>
    </row>
    <row r="45" spans="1:2" x14ac:dyDescent="0.25">
      <c r="A45" s="11" t="str">
        <f>HYPERLINK("#'Tabela 3.25'!A1", "Tabela 3.25")</f>
        <v>Tabela 3.25</v>
      </c>
      <c r="B45" s="4" t="s">
        <v>341</v>
      </c>
    </row>
    <row r="46" spans="1:2" x14ac:dyDescent="0.25">
      <c r="A46" s="11" t="str">
        <f>HYPERLINK("#'Tabela 3.26'!A1", "Tabela 3.26")</f>
        <v>Tabela 3.26</v>
      </c>
      <c r="B46" s="4" t="s">
        <v>343</v>
      </c>
    </row>
    <row r="47" spans="1:2" x14ac:dyDescent="0.25">
      <c r="A47" s="96" t="str">
        <f>HYPERLINK("#'Tabela 3.27'!A1", "Tabela 3.27")</f>
        <v>Tabela 3.27</v>
      </c>
      <c r="B47" s="5" t="s">
        <v>357</v>
      </c>
    </row>
  </sheetData>
  <mergeCells count="1">
    <mergeCell ref="A1:B1"/>
  </mergeCells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25"/>
  <sheetViews>
    <sheetView workbookViewId="0"/>
  </sheetViews>
  <sheetFormatPr defaultColWidth="11.42578125" defaultRowHeight="15" x14ac:dyDescent="0.25"/>
  <cols>
    <col min="1" max="1" width="21.7109375" customWidth="1"/>
    <col min="2" max="2" width="26.7109375" customWidth="1"/>
  </cols>
  <sheetData>
    <row r="1" spans="1:2" x14ac:dyDescent="0.25">
      <c r="A1" t="s">
        <v>112</v>
      </c>
    </row>
    <row r="3" spans="1:2" x14ac:dyDescent="0.25">
      <c r="A3" s="7" t="s">
        <v>113</v>
      </c>
      <c r="B3" s="8" t="s">
        <v>114</v>
      </c>
    </row>
    <row r="4" spans="1:2" x14ac:dyDescent="0.25">
      <c r="A4" s="2" t="s">
        <v>115</v>
      </c>
      <c r="B4" s="24">
        <v>2</v>
      </c>
    </row>
    <row r="5" spans="1:2" x14ac:dyDescent="0.25">
      <c r="A5" s="2" t="s">
        <v>116</v>
      </c>
      <c r="B5" s="24">
        <v>3</v>
      </c>
    </row>
    <row r="6" spans="1:2" x14ac:dyDescent="0.25">
      <c r="A6" s="2" t="s">
        <v>117</v>
      </c>
      <c r="B6" s="24">
        <v>1</v>
      </c>
    </row>
    <row r="7" spans="1:2" x14ac:dyDescent="0.25">
      <c r="A7" s="2" t="s">
        <v>118</v>
      </c>
      <c r="B7" s="24">
        <v>0</v>
      </c>
    </row>
    <row r="8" spans="1:2" x14ac:dyDescent="0.25">
      <c r="A8" s="2" t="s">
        <v>119</v>
      </c>
      <c r="B8" s="24">
        <v>1</v>
      </c>
    </row>
    <row r="9" spans="1:2" x14ac:dyDescent="0.25">
      <c r="A9" s="2" t="s">
        <v>120</v>
      </c>
      <c r="B9" s="24">
        <v>1</v>
      </c>
    </row>
    <row r="10" spans="1:2" x14ac:dyDescent="0.25">
      <c r="A10" s="2" t="s">
        <v>121</v>
      </c>
      <c r="B10" s="24">
        <v>3</v>
      </c>
    </row>
    <row r="11" spans="1:2" x14ac:dyDescent="0.25">
      <c r="A11" s="2" t="s">
        <v>122</v>
      </c>
      <c r="B11" s="24">
        <v>0</v>
      </c>
    </row>
    <row r="12" spans="1:2" x14ac:dyDescent="0.25">
      <c r="A12" s="2" t="s">
        <v>123</v>
      </c>
      <c r="B12" s="24">
        <v>0</v>
      </c>
    </row>
    <row r="13" spans="1:2" x14ac:dyDescent="0.25">
      <c r="A13" s="2" t="s">
        <v>124</v>
      </c>
      <c r="B13" s="24">
        <v>1</v>
      </c>
    </row>
    <row r="14" spans="1:2" x14ac:dyDescent="0.25">
      <c r="A14" s="2" t="s">
        <v>125</v>
      </c>
      <c r="B14" s="24">
        <v>3</v>
      </c>
    </row>
    <row r="15" spans="1:2" x14ac:dyDescent="0.25">
      <c r="A15" s="2" t="s">
        <v>126</v>
      </c>
      <c r="B15" s="24">
        <v>1</v>
      </c>
    </row>
    <row r="16" spans="1:2" x14ac:dyDescent="0.25">
      <c r="A16" s="2" t="s">
        <v>127</v>
      </c>
      <c r="B16" s="24">
        <v>0</v>
      </c>
    </row>
    <row r="17" spans="1:2" x14ac:dyDescent="0.25">
      <c r="A17" s="2" t="s">
        <v>128</v>
      </c>
      <c r="B17" s="24">
        <v>1</v>
      </c>
    </row>
    <row r="18" spans="1:2" x14ac:dyDescent="0.25">
      <c r="A18" s="2" t="s">
        <v>129</v>
      </c>
      <c r="B18" s="24">
        <v>0</v>
      </c>
    </row>
    <row r="19" spans="1:2" x14ac:dyDescent="0.25">
      <c r="A19" s="9" t="s">
        <v>130</v>
      </c>
      <c r="B19" s="25">
        <v>1</v>
      </c>
    </row>
    <row r="21" spans="1:2" x14ac:dyDescent="0.25">
      <c r="A21" t="s">
        <v>108</v>
      </c>
    </row>
    <row r="23" spans="1:2" x14ac:dyDescent="0.25">
      <c r="A23" t="s">
        <v>132</v>
      </c>
    </row>
    <row r="25" spans="1:2" x14ac:dyDescent="0.25">
      <c r="A25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46"/>
  <sheetViews>
    <sheetView workbookViewId="0"/>
  </sheetViews>
  <sheetFormatPr defaultColWidth="11.42578125" defaultRowHeight="15" x14ac:dyDescent="0.25"/>
  <cols>
    <col min="1" max="1" width="6.7109375" customWidth="1"/>
    <col min="2" max="2" width="9.7109375" customWidth="1"/>
    <col min="3" max="3" width="41.7109375" customWidth="1"/>
  </cols>
  <sheetData>
    <row r="1" spans="1:3" x14ac:dyDescent="0.25">
      <c r="A1" t="s">
        <v>133</v>
      </c>
    </row>
    <row r="3" spans="1:3" x14ac:dyDescent="0.25">
      <c r="A3" s="7" t="s">
        <v>21</v>
      </c>
      <c r="B3" s="6" t="s">
        <v>134</v>
      </c>
      <c r="C3" s="8" t="s">
        <v>106</v>
      </c>
    </row>
    <row r="4" spans="1:3" x14ac:dyDescent="0.25">
      <c r="A4" s="2">
        <v>2024</v>
      </c>
      <c r="B4">
        <v>1</v>
      </c>
      <c r="C4" s="21">
        <v>1.49</v>
      </c>
    </row>
    <row r="5" spans="1:3" x14ac:dyDescent="0.25">
      <c r="A5" s="2">
        <v>2024</v>
      </c>
      <c r="B5">
        <v>2</v>
      </c>
      <c r="C5" s="21">
        <v>1.29</v>
      </c>
    </row>
    <row r="6" spans="1:3" x14ac:dyDescent="0.25">
      <c r="A6" s="2">
        <v>2024</v>
      </c>
      <c r="B6">
        <v>3</v>
      </c>
      <c r="C6" s="21">
        <v>1.57</v>
      </c>
    </row>
    <row r="7" spans="1:3" x14ac:dyDescent="0.25">
      <c r="A7" s="2">
        <v>2024</v>
      </c>
      <c r="B7">
        <v>4</v>
      </c>
      <c r="C7" s="21">
        <v>1.3</v>
      </c>
    </row>
    <row r="8" spans="1:3" x14ac:dyDescent="0.25">
      <c r="A8" s="2">
        <v>2024</v>
      </c>
      <c r="B8">
        <v>5</v>
      </c>
      <c r="C8" s="21">
        <v>1.21</v>
      </c>
    </row>
    <row r="9" spans="1:3" x14ac:dyDescent="0.25">
      <c r="A9" s="2">
        <v>2024</v>
      </c>
      <c r="B9">
        <v>6</v>
      </c>
      <c r="C9" s="21">
        <v>1.91</v>
      </c>
    </row>
    <row r="10" spans="1:3" x14ac:dyDescent="0.25">
      <c r="A10" s="2">
        <v>2024</v>
      </c>
      <c r="B10">
        <v>7</v>
      </c>
      <c r="C10" s="21">
        <v>2.62</v>
      </c>
    </row>
    <row r="11" spans="1:3" x14ac:dyDescent="0.25">
      <c r="A11" s="2">
        <v>2024</v>
      </c>
      <c r="B11">
        <v>8</v>
      </c>
      <c r="C11" s="21">
        <v>1.94</v>
      </c>
    </row>
    <row r="12" spans="1:3" x14ac:dyDescent="0.25">
      <c r="A12" s="2">
        <v>2024</v>
      </c>
      <c r="B12">
        <v>9</v>
      </c>
      <c r="C12" s="21">
        <v>2.96</v>
      </c>
    </row>
    <row r="13" spans="1:3" x14ac:dyDescent="0.25">
      <c r="A13" s="2">
        <v>2024</v>
      </c>
      <c r="B13">
        <v>10</v>
      </c>
      <c r="C13" s="21">
        <v>5.88</v>
      </c>
    </row>
    <row r="14" spans="1:3" x14ac:dyDescent="0.25">
      <c r="A14" s="2">
        <v>2024</v>
      </c>
      <c r="B14">
        <v>11</v>
      </c>
      <c r="C14" s="21">
        <v>7.25</v>
      </c>
    </row>
    <row r="15" spans="1:3" x14ac:dyDescent="0.25">
      <c r="A15" s="2">
        <v>2024</v>
      </c>
      <c r="B15">
        <v>12</v>
      </c>
      <c r="C15" s="21">
        <v>7.62</v>
      </c>
    </row>
    <row r="16" spans="1:3" x14ac:dyDescent="0.25">
      <c r="A16" s="2">
        <v>2023</v>
      </c>
      <c r="B16">
        <v>1</v>
      </c>
      <c r="C16" s="21">
        <v>3.66</v>
      </c>
    </row>
    <row r="17" spans="1:3" x14ac:dyDescent="0.25">
      <c r="A17" s="2">
        <v>2023</v>
      </c>
      <c r="B17">
        <v>2</v>
      </c>
      <c r="C17" s="21">
        <v>4.5199999999999996</v>
      </c>
    </row>
    <row r="18" spans="1:3" x14ac:dyDescent="0.25">
      <c r="A18" s="2">
        <v>2023</v>
      </c>
      <c r="B18">
        <v>3</v>
      </c>
      <c r="C18" s="21">
        <v>6.09</v>
      </c>
    </row>
    <row r="19" spans="1:3" x14ac:dyDescent="0.25">
      <c r="A19" s="2">
        <v>2023</v>
      </c>
      <c r="B19">
        <v>4</v>
      </c>
      <c r="C19" s="21">
        <v>6.25</v>
      </c>
    </row>
    <row r="20" spans="1:3" x14ac:dyDescent="0.25">
      <c r="A20" s="2">
        <v>2023</v>
      </c>
      <c r="B20">
        <v>5</v>
      </c>
      <c r="C20" s="21">
        <v>6.73</v>
      </c>
    </row>
    <row r="21" spans="1:3" x14ac:dyDescent="0.25">
      <c r="A21" s="2">
        <v>2023</v>
      </c>
      <c r="B21">
        <v>6</v>
      </c>
      <c r="C21" s="21">
        <v>7.96</v>
      </c>
    </row>
    <row r="22" spans="1:3" x14ac:dyDescent="0.25">
      <c r="A22" s="2">
        <v>2023</v>
      </c>
      <c r="B22">
        <v>7</v>
      </c>
      <c r="C22" s="21">
        <v>4.6500000000000004</v>
      </c>
    </row>
    <row r="23" spans="1:3" x14ac:dyDescent="0.25">
      <c r="A23" s="2">
        <v>2023</v>
      </c>
      <c r="B23">
        <v>8</v>
      </c>
      <c r="C23" s="21">
        <v>4.53</v>
      </c>
    </row>
    <row r="24" spans="1:3" x14ac:dyDescent="0.25">
      <c r="A24" s="2">
        <v>2023</v>
      </c>
      <c r="B24">
        <v>9</v>
      </c>
      <c r="C24" s="21">
        <v>4.9800000000000004</v>
      </c>
    </row>
    <row r="25" spans="1:3" x14ac:dyDescent="0.25">
      <c r="A25" s="2">
        <v>2023</v>
      </c>
      <c r="B25">
        <v>10</v>
      </c>
      <c r="C25" s="21">
        <v>7.38</v>
      </c>
    </row>
    <row r="26" spans="1:3" x14ac:dyDescent="0.25">
      <c r="A26" s="2">
        <v>2023</v>
      </c>
      <c r="B26">
        <v>11</v>
      </c>
      <c r="C26" s="21">
        <v>7.82</v>
      </c>
    </row>
    <row r="27" spans="1:3" x14ac:dyDescent="0.25">
      <c r="A27" s="2">
        <v>2023</v>
      </c>
      <c r="B27">
        <v>12</v>
      </c>
      <c r="C27" s="21">
        <v>9.16</v>
      </c>
    </row>
    <row r="28" spans="1:3" x14ac:dyDescent="0.25">
      <c r="A28" s="2">
        <v>2022</v>
      </c>
      <c r="B28">
        <v>1</v>
      </c>
      <c r="C28" s="21">
        <v>7.0000000000000007E-2</v>
      </c>
    </row>
    <row r="29" spans="1:3" x14ac:dyDescent="0.25">
      <c r="A29" s="2">
        <v>2022</v>
      </c>
      <c r="B29">
        <v>2</v>
      </c>
      <c r="C29" s="21">
        <v>0.1</v>
      </c>
    </row>
    <row r="30" spans="1:3" x14ac:dyDescent="0.25">
      <c r="A30" s="2">
        <v>2022</v>
      </c>
      <c r="B30">
        <v>3</v>
      </c>
      <c r="C30" s="21">
        <v>0.41</v>
      </c>
    </row>
    <row r="31" spans="1:3" x14ac:dyDescent="0.25">
      <c r="A31" s="2">
        <v>2022</v>
      </c>
      <c r="B31">
        <v>4</v>
      </c>
      <c r="C31" s="21">
        <v>1.1000000000000001</v>
      </c>
    </row>
    <row r="32" spans="1:3" x14ac:dyDescent="0.25">
      <c r="A32" s="2">
        <v>2022</v>
      </c>
      <c r="B32">
        <v>5</v>
      </c>
      <c r="C32" s="21">
        <v>1.27</v>
      </c>
    </row>
    <row r="33" spans="1:3" x14ac:dyDescent="0.25">
      <c r="A33" s="2">
        <v>2022</v>
      </c>
      <c r="B33">
        <v>6</v>
      </c>
      <c r="C33" s="21">
        <v>2.0699999999999998</v>
      </c>
    </row>
    <row r="34" spans="1:3" x14ac:dyDescent="0.25">
      <c r="A34" s="2">
        <v>2022</v>
      </c>
      <c r="B34">
        <v>7</v>
      </c>
      <c r="C34" s="21">
        <v>2.59</v>
      </c>
    </row>
    <row r="35" spans="1:3" x14ac:dyDescent="0.25">
      <c r="A35" s="2">
        <v>2022</v>
      </c>
      <c r="B35">
        <v>8</v>
      </c>
      <c r="C35" s="21">
        <v>3.19</v>
      </c>
    </row>
    <row r="36" spans="1:3" x14ac:dyDescent="0.25">
      <c r="A36" s="2">
        <v>2022</v>
      </c>
      <c r="B36">
        <v>9</v>
      </c>
      <c r="C36" s="21">
        <v>3.58</v>
      </c>
    </row>
    <row r="37" spans="1:3" x14ac:dyDescent="0.25">
      <c r="A37" s="2">
        <v>2022</v>
      </c>
      <c r="B37">
        <v>10</v>
      </c>
      <c r="C37" s="21">
        <v>4.03</v>
      </c>
    </row>
    <row r="38" spans="1:3" x14ac:dyDescent="0.25">
      <c r="A38" s="2">
        <v>2022</v>
      </c>
      <c r="B38">
        <v>11</v>
      </c>
      <c r="C38" s="21">
        <v>4.38</v>
      </c>
    </row>
    <row r="39" spans="1:3" x14ac:dyDescent="0.25">
      <c r="A39" s="2">
        <v>2022</v>
      </c>
      <c r="B39">
        <v>12</v>
      </c>
      <c r="C39" s="21">
        <v>4.12</v>
      </c>
    </row>
    <row r="40" spans="1:3" x14ac:dyDescent="0.25">
      <c r="A40" s="9">
        <v>2021</v>
      </c>
      <c r="B40" s="10">
        <v>12</v>
      </c>
      <c r="C40" s="23">
        <v>0.03</v>
      </c>
    </row>
    <row r="42" spans="1:3" x14ac:dyDescent="0.25">
      <c r="A42" t="s">
        <v>108</v>
      </c>
    </row>
    <row r="44" spans="1:3" x14ac:dyDescent="0.25">
      <c r="A44" t="s">
        <v>136</v>
      </c>
    </row>
    <row r="46" spans="1:3" x14ac:dyDescent="0.25">
      <c r="A46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24"/>
  <sheetViews>
    <sheetView workbookViewId="0"/>
  </sheetViews>
  <sheetFormatPr defaultColWidth="11.42578125" defaultRowHeight="15" x14ac:dyDescent="0.25"/>
  <cols>
    <col min="1" max="1" width="6.7109375" customWidth="1"/>
    <col min="2" max="2" width="18.7109375" customWidth="1"/>
    <col min="3" max="3" width="29.7109375" customWidth="1"/>
  </cols>
  <sheetData>
    <row r="1" spans="1:3" x14ac:dyDescent="0.25">
      <c r="A1" t="s">
        <v>137</v>
      </c>
    </row>
    <row r="3" spans="1:3" x14ac:dyDescent="0.25">
      <c r="A3" s="7" t="s">
        <v>21</v>
      </c>
      <c r="B3" s="6" t="s">
        <v>138</v>
      </c>
      <c r="C3" s="8" t="s">
        <v>139</v>
      </c>
    </row>
    <row r="4" spans="1:3" x14ac:dyDescent="0.25">
      <c r="A4" s="2">
        <v>2024</v>
      </c>
      <c r="B4" s="117">
        <v>134037</v>
      </c>
      <c r="C4" s="27">
        <v>501068</v>
      </c>
    </row>
    <row r="5" spans="1:3" x14ac:dyDescent="0.25">
      <c r="A5" s="2">
        <v>2023</v>
      </c>
      <c r="B5" s="26">
        <v>144357</v>
      </c>
      <c r="C5" s="27">
        <v>552528</v>
      </c>
    </row>
    <row r="6" spans="1:3" x14ac:dyDescent="0.25">
      <c r="A6" s="2">
        <v>2022</v>
      </c>
      <c r="B6" s="26">
        <v>109412</v>
      </c>
      <c r="C6" s="27">
        <v>371842</v>
      </c>
    </row>
    <row r="7" spans="1:3" x14ac:dyDescent="0.25">
      <c r="A7" s="2">
        <v>2021</v>
      </c>
      <c r="B7" s="26">
        <v>50523</v>
      </c>
      <c r="C7" s="27">
        <v>148413</v>
      </c>
    </row>
    <row r="8" spans="1:3" x14ac:dyDescent="0.25">
      <c r="A8" s="2">
        <v>2020</v>
      </c>
      <c r="B8" s="26">
        <v>24494</v>
      </c>
      <c r="C8" s="27">
        <v>61571</v>
      </c>
    </row>
    <row r="9" spans="1:3" x14ac:dyDescent="0.25">
      <c r="A9" s="9">
        <v>2019</v>
      </c>
      <c r="B9" s="88">
        <v>22143</v>
      </c>
      <c r="C9" s="28">
        <v>44672</v>
      </c>
    </row>
    <row r="11" spans="1:3" x14ac:dyDescent="0.25">
      <c r="A11" t="s">
        <v>141</v>
      </c>
    </row>
    <row r="22" spans="1:1" x14ac:dyDescent="0.25">
      <c r="A22" t="s">
        <v>142</v>
      </c>
    </row>
    <row r="24" spans="1:1" x14ac:dyDescent="0.25">
      <c r="A24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24"/>
  <sheetViews>
    <sheetView workbookViewId="0"/>
  </sheetViews>
  <sheetFormatPr defaultColWidth="11.42578125" defaultRowHeight="15" x14ac:dyDescent="0.25"/>
  <cols>
    <col min="1" max="1" width="6.7109375" customWidth="1"/>
    <col min="2" max="2" width="19.7109375" customWidth="1"/>
  </cols>
  <sheetData>
    <row r="1" spans="1:2" x14ac:dyDescent="0.25">
      <c r="A1" t="s">
        <v>143</v>
      </c>
    </row>
    <row r="3" spans="1:2" x14ac:dyDescent="0.25">
      <c r="A3" s="7" t="s">
        <v>21</v>
      </c>
      <c r="B3" s="8" t="s">
        <v>144</v>
      </c>
    </row>
    <row r="4" spans="1:2" x14ac:dyDescent="0.25">
      <c r="A4" s="2">
        <v>2024</v>
      </c>
      <c r="B4" s="101">
        <v>226882368.41</v>
      </c>
    </row>
    <row r="5" spans="1:2" x14ac:dyDescent="0.25">
      <c r="A5" s="2">
        <v>2023</v>
      </c>
      <c r="B5" s="101">
        <v>238341830.78</v>
      </c>
    </row>
    <row r="6" spans="1:2" x14ac:dyDescent="0.25">
      <c r="A6" s="2">
        <v>2022</v>
      </c>
      <c r="B6" s="101">
        <v>152697055.87</v>
      </c>
    </row>
    <row r="7" spans="1:2" x14ac:dyDescent="0.25">
      <c r="A7" s="2">
        <v>2021</v>
      </c>
      <c r="B7" s="101">
        <v>60637293.640000001</v>
      </c>
    </row>
    <row r="8" spans="1:2" x14ac:dyDescent="0.25">
      <c r="A8" s="2">
        <v>2020</v>
      </c>
      <c r="B8" s="101">
        <v>26108447.469999999</v>
      </c>
    </row>
    <row r="9" spans="1:2" x14ac:dyDescent="0.25">
      <c r="A9" s="9">
        <v>2019</v>
      </c>
      <c r="B9" s="102">
        <v>18843740.829999998</v>
      </c>
    </row>
    <row r="11" spans="1:2" x14ac:dyDescent="0.25">
      <c r="A11" t="s">
        <v>146</v>
      </c>
    </row>
    <row r="22" spans="1:1" x14ac:dyDescent="0.25">
      <c r="A22" t="s">
        <v>142</v>
      </c>
    </row>
    <row r="24" spans="1:1" x14ac:dyDescent="0.25">
      <c r="A24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8"/>
  <sheetViews>
    <sheetView zoomScale="80" zoomScaleNormal="80" workbookViewId="0"/>
  </sheetViews>
  <sheetFormatPr defaultColWidth="11.42578125" defaultRowHeight="15" x14ac:dyDescent="0.25"/>
  <cols>
    <col min="1" max="1" width="6.7109375" customWidth="1"/>
    <col min="2" max="2" width="80.7109375" customWidth="1"/>
    <col min="3" max="3" width="58.7109375" customWidth="1"/>
  </cols>
  <sheetData>
    <row r="1" spans="1:3" x14ac:dyDescent="0.25">
      <c r="A1" t="s">
        <v>147</v>
      </c>
    </row>
    <row r="3" spans="1:3" x14ac:dyDescent="0.25">
      <c r="A3" s="7" t="s">
        <v>21</v>
      </c>
      <c r="B3" s="6" t="s">
        <v>148</v>
      </c>
      <c r="C3" s="8" t="s">
        <v>149</v>
      </c>
    </row>
    <row r="4" spans="1:3" x14ac:dyDescent="0.25">
      <c r="A4" s="2">
        <v>2024</v>
      </c>
      <c r="B4" s="116">
        <v>2.08</v>
      </c>
      <c r="C4" s="60">
        <v>3.51</v>
      </c>
    </row>
    <row r="5" spans="1:3" x14ac:dyDescent="0.25">
      <c r="A5" s="2">
        <v>2023</v>
      </c>
      <c r="B5" s="29">
        <v>2.0099999999999998</v>
      </c>
      <c r="C5" s="30">
        <v>3.34</v>
      </c>
    </row>
    <row r="6" spans="1:3" x14ac:dyDescent="0.25">
      <c r="A6" s="2">
        <v>2022</v>
      </c>
      <c r="B6" s="29">
        <v>1.83</v>
      </c>
      <c r="C6" s="30">
        <v>3.2</v>
      </c>
    </row>
    <row r="7" spans="1:3" x14ac:dyDescent="0.25">
      <c r="A7" s="2">
        <v>2021</v>
      </c>
      <c r="B7" s="29">
        <v>1.78</v>
      </c>
      <c r="C7" s="30">
        <v>3.08</v>
      </c>
    </row>
    <row r="8" spans="1:3" x14ac:dyDescent="0.25">
      <c r="A8" s="2">
        <v>2020</v>
      </c>
      <c r="B8" s="29">
        <v>1.7</v>
      </c>
      <c r="C8" s="30">
        <v>2.94</v>
      </c>
    </row>
    <row r="9" spans="1:3" x14ac:dyDescent="0.25">
      <c r="A9" s="2">
        <v>2019</v>
      </c>
      <c r="B9" s="29">
        <v>1.83</v>
      </c>
      <c r="C9" s="30">
        <v>2.97</v>
      </c>
    </row>
    <row r="10" spans="1:3" x14ac:dyDescent="0.25">
      <c r="A10" s="2">
        <v>2018</v>
      </c>
      <c r="B10" s="29">
        <v>1.77</v>
      </c>
      <c r="C10" s="30">
        <v>2.83</v>
      </c>
    </row>
    <row r="11" spans="1:3" x14ac:dyDescent="0.25">
      <c r="A11" s="2">
        <v>2017</v>
      </c>
      <c r="B11" s="29">
        <v>1.78</v>
      </c>
      <c r="C11" s="30">
        <v>2.69</v>
      </c>
    </row>
    <row r="12" spans="1:3" x14ac:dyDescent="0.25">
      <c r="A12" s="2">
        <v>2016</v>
      </c>
      <c r="B12" s="29">
        <v>1.79</v>
      </c>
      <c r="C12" s="30">
        <v>2.57</v>
      </c>
    </row>
    <row r="13" spans="1:3" x14ac:dyDescent="0.25">
      <c r="A13" s="2">
        <v>2015</v>
      </c>
      <c r="B13" s="29">
        <v>1.77</v>
      </c>
      <c r="C13" s="30">
        <v>2.44</v>
      </c>
    </row>
    <row r="14" spans="1:3" x14ac:dyDescent="0.25">
      <c r="A14" s="9">
        <v>2014</v>
      </c>
      <c r="B14" s="95">
        <v>1.76</v>
      </c>
      <c r="C14" s="62">
        <v>2.3199999999999998</v>
      </c>
    </row>
    <row r="16" spans="1:3" x14ac:dyDescent="0.25">
      <c r="A16" t="s">
        <v>108</v>
      </c>
    </row>
    <row r="18" spans="1:1" x14ac:dyDescent="0.25">
      <c r="A18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8"/>
  <sheetViews>
    <sheetView workbookViewId="0"/>
  </sheetViews>
  <sheetFormatPr defaultColWidth="11.42578125" defaultRowHeight="15" x14ac:dyDescent="0.25"/>
  <cols>
    <col min="1" max="1" width="6.7109375" customWidth="1"/>
    <col min="2" max="2" width="68.7109375" customWidth="1"/>
    <col min="3" max="3" width="70.7109375" customWidth="1"/>
    <col min="4" max="4" width="83.7109375" customWidth="1"/>
    <col min="5" max="5" width="144.7109375" customWidth="1"/>
  </cols>
  <sheetData>
    <row r="1" spans="1:5" x14ac:dyDescent="0.25">
      <c r="A1" t="s">
        <v>151</v>
      </c>
    </row>
    <row r="3" spans="1:5" x14ac:dyDescent="0.25">
      <c r="A3" s="7" t="s">
        <v>21</v>
      </c>
      <c r="B3" s="6" t="s">
        <v>152</v>
      </c>
      <c r="C3" s="6" t="s">
        <v>153</v>
      </c>
      <c r="D3" s="6" t="s">
        <v>154</v>
      </c>
      <c r="E3" s="8" t="s">
        <v>155</v>
      </c>
    </row>
    <row r="4" spans="1:5" x14ac:dyDescent="0.25">
      <c r="A4" s="2">
        <v>2024</v>
      </c>
      <c r="B4" s="31">
        <v>3.51</v>
      </c>
      <c r="C4" s="32">
        <v>0.78349999999999997</v>
      </c>
      <c r="D4" s="31">
        <v>605.79</v>
      </c>
      <c r="E4" s="33">
        <v>42.86</v>
      </c>
    </row>
    <row r="5" spans="1:5" x14ac:dyDescent="0.25">
      <c r="A5" s="2">
        <v>2023</v>
      </c>
      <c r="B5" s="31">
        <v>3.34</v>
      </c>
      <c r="C5" s="32">
        <v>0.77139999999999997</v>
      </c>
      <c r="D5" s="31">
        <v>568.61</v>
      </c>
      <c r="E5" s="33">
        <v>45.47</v>
      </c>
    </row>
    <row r="6" spans="1:5" x14ac:dyDescent="0.25">
      <c r="A6" s="2">
        <v>2022</v>
      </c>
      <c r="B6" s="31">
        <v>3.2</v>
      </c>
      <c r="C6" s="32">
        <v>0.77200000000000002</v>
      </c>
      <c r="D6" s="31">
        <v>558.27</v>
      </c>
      <c r="E6" s="33">
        <v>50.2</v>
      </c>
    </row>
    <row r="7" spans="1:5" x14ac:dyDescent="0.25">
      <c r="A7" s="2">
        <v>2021</v>
      </c>
      <c r="B7" s="31">
        <v>3.08</v>
      </c>
      <c r="C7" s="32">
        <v>0.77459999999999996</v>
      </c>
      <c r="D7" s="31">
        <v>533.04999999999995</v>
      </c>
      <c r="E7" s="33">
        <v>57.57</v>
      </c>
    </row>
    <row r="8" spans="1:5" x14ac:dyDescent="0.25">
      <c r="A8" s="2">
        <v>2020</v>
      </c>
      <c r="B8" s="31">
        <v>2.94</v>
      </c>
      <c r="C8" s="32">
        <v>0.7994</v>
      </c>
      <c r="D8" s="31">
        <v>383.27</v>
      </c>
      <c r="E8" s="33">
        <v>54.32</v>
      </c>
    </row>
    <row r="9" spans="1:5" x14ac:dyDescent="0.25">
      <c r="A9" s="2">
        <v>2019</v>
      </c>
      <c r="B9" s="31">
        <v>2.97</v>
      </c>
      <c r="C9" s="32">
        <v>0.79700000000000004</v>
      </c>
      <c r="D9" s="31">
        <v>510.06</v>
      </c>
      <c r="E9" s="33">
        <v>54.53</v>
      </c>
    </row>
    <row r="10" spans="1:5" x14ac:dyDescent="0.25">
      <c r="A10" s="2">
        <v>2018</v>
      </c>
      <c r="B10" s="31">
        <v>2.83</v>
      </c>
      <c r="C10" s="32">
        <v>0.80510000000000004</v>
      </c>
      <c r="D10" s="31">
        <v>471.52</v>
      </c>
      <c r="E10" s="33">
        <v>49.15</v>
      </c>
    </row>
    <row r="11" spans="1:5" x14ac:dyDescent="0.25">
      <c r="A11" s="2">
        <v>2017</v>
      </c>
      <c r="B11" s="31">
        <v>2.69</v>
      </c>
      <c r="C11" s="32">
        <v>0.81179999999999997</v>
      </c>
      <c r="D11" s="31">
        <v>441.3</v>
      </c>
      <c r="E11" s="33">
        <v>42.85</v>
      </c>
    </row>
    <row r="12" spans="1:5" x14ac:dyDescent="0.25">
      <c r="A12" s="2">
        <v>2016</v>
      </c>
      <c r="B12" s="31">
        <v>2.57</v>
      </c>
      <c r="C12" s="32">
        <v>0.81669999999999998</v>
      </c>
      <c r="D12" s="31">
        <v>431.47</v>
      </c>
      <c r="E12" s="33">
        <v>37.49</v>
      </c>
    </row>
    <row r="13" spans="1:5" x14ac:dyDescent="0.25">
      <c r="A13" s="2">
        <v>2015</v>
      </c>
      <c r="B13" s="31">
        <v>2.44</v>
      </c>
      <c r="C13" s="32">
        <v>0.8196</v>
      </c>
      <c r="D13" s="31">
        <v>410.36</v>
      </c>
      <c r="E13" s="33">
        <v>31.57</v>
      </c>
    </row>
    <row r="14" spans="1:5" x14ac:dyDescent="0.25">
      <c r="A14" s="9">
        <v>2014</v>
      </c>
      <c r="B14" s="34">
        <v>2.3199999999999998</v>
      </c>
      <c r="C14" s="35">
        <v>0.82479999999999998</v>
      </c>
      <c r="D14" s="34">
        <v>404.31</v>
      </c>
      <c r="E14" s="36">
        <v>28.85</v>
      </c>
    </row>
    <row r="16" spans="1:5" x14ac:dyDescent="0.25">
      <c r="A16" t="s">
        <v>108</v>
      </c>
    </row>
    <row r="18" spans="1:1" x14ac:dyDescent="0.25">
      <c r="A18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8"/>
  <sheetViews>
    <sheetView workbookViewId="0"/>
  </sheetViews>
  <sheetFormatPr defaultColWidth="11.42578125" defaultRowHeight="15" x14ac:dyDescent="0.25"/>
  <cols>
    <col min="1" max="2" width="6.7109375" customWidth="1"/>
    <col min="3" max="6" width="7.7109375" customWidth="1"/>
    <col min="7" max="7" width="16.7109375" customWidth="1"/>
  </cols>
  <sheetData>
    <row r="1" spans="1:7" x14ac:dyDescent="0.25">
      <c r="A1" t="s">
        <v>157</v>
      </c>
    </row>
    <row r="3" spans="1:7" x14ac:dyDescent="0.25">
      <c r="A3" s="7" t="s">
        <v>21</v>
      </c>
      <c r="B3" s="6" t="s">
        <v>158</v>
      </c>
      <c r="C3" s="6" t="s">
        <v>159</v>
      </c>
      <c r="D3" s="6" t="s">
        <v>160</v>
      </c>
      <c r="E3" s="6" t="s">
        <v>161</v>
      </c>
      <c r="F3" s="6" t="s">
        <v>162</v>
      </c>
      <c r="G3" s="8" t="s">
        <v>163</v>
      </c>
    </row>
    <row r="4" spans="1:7" x14ac:dyDescent="0.25">
      <c r="A4" s="2">
        <v>2024</v>
      </c>
      <c r="B4" t="s">
        <v>164</v>
      </c>
      <c r="C4" t="s">
        <v>165</v>
      </c>
      <c r="D4" t="s">
        <v>166</v>
      </c>
      <c r="E4" t="s">
        <v>167</v>
      </c>
      <c r="F4" t="s">
        <v>168</v>
      </c>
      <c r="G4" s="37" t="s">
        <v>169</v>
      </c>
    </row>
    <row r="5" spans="1:7" x14ac:dyDescent="0.25">
      <c r="A5" s="2">
        <v>2023</v>
      </c>
      <c r="B5" t="s">
        <v>164</v>
      </c>
      <c r="C5" t="s">
        <v>170</v>
      </c>
      <c r="D5" t="s">
        <v>166</v>
      </c>
      <c r="E5" t="s">
        <v>171</v>
      </c>
      <c r="F5" t="s">
        <v>172</v>
      </c>
      <c r="G5" s="37" t="s">
        <v>173</v>
      </c>
    </row>
    <row r="6" spans="1:7" x14ac:dyDescent="0.25">
      <c r="A6" s="2">
        <v>2022</v>
      </c>
      <c r="B6" t="s">
        <v>164</v>
      </c>
      <c r="C6" t="s">
        <v>174</v>
      </c>
      <c r="D6" t="s">
        <v>175</v>
      </c>
      <c r="E6" t="s">
        <v>176</v>
      </c>
      <c r="F6" t="s">
        <v>177</v>
      </c>
      <c r="G6" s="37" t="s">
        <v>178</v>
      </c>
    </row>
    <row r="7" spans="1:7" x14ac:dyDescent="0.25">
      <c r="A7" s="2">
        <v>2021</v>
      </c>
      <c r="B7" t="s">
        <v>179</v>
      </c>
      <c r="C7" t="s">
        <v>180</v>
      </c>
      <c r="D7" t="s">
        <v>181</v>
      </c>
      <c r="E7" t="s">
        <v>182</v>
      </c>
      <c r="F7" t="s">
        <v>183</v>
      </c>
      <c r="G7" s="37" t="s">
        <v>184</v>
      </c>
    </row>
    <row r="8" spans="1:7" x14ac:dyDescent="0.25">
      <c r="A8" s="2">
        <v>2020</v>
      </c>
      <c r="B8" t="s">
        <v>179</v>
      </c>
      <c r="C8" t="s">
        <v>170</v>
      </c>
      <c r="D8" t="s">
        <v>185</v>
      </c>
      <c r="E8" t="s">
        <v>186</v>
      </c>
      <c r="F8" t="s">
        <v>187</v>
      </c>
      <c r="G8" s="37" t="s">
        <v>178</v>
      </c>
    </row>
    <row r="9" spans="1:7" x14ac:dyDescent="0.25">
      <c r="A9" s="2">
        <v>2019</v>
      </c>
      <c r="B9" t="s">
        <v>179</v>
      </c>
      <c r="C9" t="s">
        <v>170</v>
      </c>
      <c r="D9" t="s">
        <v>188</v>
      </c>
      <c r="E9" t="s">
        <v>189</v>
      </c>
      <c r="F9" t="s">
        <v>187</v>
      </c>
      <c r="G9" s="37" t="s">
        <v>190</v>
      </c>
    </row>
    <row r="10" spans="1:7" x14ac:dyDescent="0.25">
      <c r="A10" s="2">
        <v>2018</v>
      </c>
      <c r="B10" t="s">
        <v>179</v>
      </c>
      <c r="C10" t="s">
        <v>191</v>
      </c>
      <c r="D10" t="s">
        <v>192</v>
      </c>
      <c r="E10" t="s">
        <v>190</v>
      </c>
      <c r="F10" t="s">
        <v>193</v>
      </c>
      <c r="G10" s="37" t="s">
        <v>178</v>
      </c>
    </row>
    <row r="11" spans="1:7" x14ac:dyDescent="0.25">
      <c r="A11" s="2">
        <v>2017</v>
      </c>
      <c r="B11" t="s">
        <v>194</v>
      </c>
      <c r="C11" t="s">
        <v>195</v>
      </c>
      <c r="D11" t="s">
        <v>196</v>
      </c>
      <c r="E11" t="s">
        <v>197</v>
      </c>
      <c r="F11" t="s">
        <v>198</v>
      </c>
      <c r="G11" s="37" t="s">
        <v>189</v>
      </c>
    </row>
    <row r="12" spans="1:7" x14ac:dyDescent="0.25">
      <c r="A12" s="2">
        <v>2016</v>
      </c>
      <c r="B12" t="s">
        <v>194</v>
      </c>
      <c r="C12" t="s">
        <v>199</v>
      </c>
      <c r="D12" t="s">
        <v>200</v>
      </c>
      <c r="E12" t="s">
        <v>184</v>
      </c>
      <c r="F12" t="s">
        <v>172</v>
      </c>
      <c r="G12" s="37" t="s">
        <v>178</v>
      </c>
    </row>
    <row r="13" spans="1:7" x14ac:dyDescent="0.25">
      <c r="A13" s="2">
        <v>2015</v>
      </c>
      <c r="B13" t="s">
        <v>194</v>
      </c>
      <c r="C13" t="s">
        <v>201</v>
      </c>
      <c r="D13" t="s">
        <v>200</v>
      </c>
      <c r="E13" t="s">
        <v>202</v>
      </c>
      <c r="F13" t="s">
        <v>203</v>
      </c>
      <c r="G13" s="37" t="s">
        <v>178</v>
      </c>
    </row>
    <row r="14" spans="1:7" x14ac:dyDescent="0.25">
      <c r="A14" s="9">
        <v>2014</v>
      </c>
      <c r="B14" s="10" t="s">
        <v>194</v>
      </c>
      <c r="C14" s="10" t="s">
        <v>204</v>
      </c>
      <c r="D14" s="10" t="s">
        <v>205</v>
      </c>
      <c r="E14" s="10" t="s">
        <v>202</v>
      </c>
      <c r="F14" s="10" t="s">
        <v>206</v>
      </c>
      <c r="G14" s="38" t="s">
        <v>197</v>
      </c>
    </row>
    <row r="16" spans="1:7" x14ac:dyDescent="0.25">
      <c r="A16" t="s">
        <v>108</v>
      </c>
    </row>
    <row r="18" spans="1:1" x14ac:dyDescent="0.25">
      <c r="A18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22"/>
  <sheetViews>
    <sheetView workbookViewId="0"/>
  </sheetViews>
  <sheetFormatPr defaultColWidth="11.42578125" defaultRowHeight="15" x14ac:dyDescent="0.25"/>
  <cols>
    <col min="1" max="1" width="6.7109375" customWidth="1"/>
    <col min="2" max="2" width="42.7109375" customWidth="1"/>
    <col min="3" max="3" width="45.7109375" customWidth="1"/>
    <col min="4" max="4" width="44.7109375" customWidth="1"/>
    <col min="5" max="5" width="78.7109375" customWidth="1"/>
    <col min="6" max="6" width="77.7109375" customWidth="1"/>
  </cols>
  <sheetData>
    <row r="1" spans="1:6" x14ac:dyDescent="0.25">
      <c r="A1" t="s">
        <v>208</v>
      </c>
    </row>
    <row r="3" spans="1:6" x14ac:dyDescent="0.25">
      <c r="A3" s="7" t="s">
        <v>21</v>
      </c>
      <c r="B3" s="6" t="s">
        <v>209</v>
      </c>
      <c r="C3" s="6" t="s">
        <v>210</v>
      </c>
      <c r="D3" s="6" t="s">
        <v>211</v>
      </c>
      <c r="E3" s="6" t="s">
        <v>212</v>
      </c>
      <c r="F3" s="8" t="s">
        <v>213</v>
      </c>
    </row>
    <row r="4" spans="1:6" x14ac:dyDescent="0.25">
      <c r="A4" s="2">
        <v>2024</v>
      </c>
      <c r="B4" s="39">
        <v>32.03</v>
      </c>
      <c r="C4" s="40">
        <v>2750.64</v>
      </c>
      <c r="D4" s="40">
        <v>38.49</v>
      </c>
      <c r="E4" s="40">
        <v>992.03</v>
      </c>
      <c r="F4" s="21">
        <v>127.56</v>
      </c>
    </row>
    <row r="5" spans="1:6" x14ac:dyDescent="0.25">
      <c r="A5" s="2">
        <v>2023</v>
      </c>
      <c r="B5" s="39">
        <v>30</v>
      </c>
      <c r="C5" s="40">
        <v>1997.52</v>
      </c>
      <c r="D5" s="40">
        <v>31.81</v>
      </c>
      <c r="E5" s="40">
        <v>841.72</v>
      </c>
      <c r="F5" s="21">
        <v>115.02</v>
      </c>
    </row>
    <row r="6" spans="1:6" x14ac:dyDescent="0.25">
      <c r="A6" s="2">
        <v>2022</v>
      </c>
      <c r="B6" s="39">
        <v>28.27</v>
      </c>
      <c r="C6" s="40">
        <v>1659.01</v>
      </c>
      <c r="D6" s="40">
        <v>40.15</v>
      </c>
      <c r="E6" s="40">
        <v>541.34</v>
      </c>
      <c r="F6" s="21">
        <v>83.5</v>
      </c>
    </row>
    <row r="7" spans="1:6" x14ac:dyDescent="0.25">
      <c r="A7" s="2">
        <v>2021</v>
      </c>
      <c r="B7" s="39">
        <v>27.08</v>
      </c>
      <c r="C7" s="40">
        <v>1517.6</v>
      </c>
      <c r="D7" s="40">
        <v>36.020000000000003</v>
      </c>
      <c r="E7" s="40">
        <v>368.02</v>
      </c>
      <c r="F7" s="21">
        <v>62.79</v>
      </c>
    </row>
    <row r="8" spans="1:6" x14ac:dyDescent="0.25">
      <c r="A8" s="2">
        <v>2020</v>
      </c>
      <c r="B8" s="39">
        <v>26.86</v>
      </c>
      <c r="C8" s="40">
        <v>1496.35</v>
      </c>
      <c r="D8" s="40">
        <v>36.340000000000003</v>
      </c>
      <c r="E8" s="40">
        <v>328.75</v>
      </c>
      <c r="F8" s="21">
        <v>49.17</v>
      </c>
    </row>
    <row r="9" spans="1:6" x14ac:dyDescent="0.25">
      <c r="A9" s="2">
        <v>2019</v>
      </c>
      <c r="B9" s="39">
        <v>28.65</v>
      </c>
      <c r="C9" s="40">
        <v>1455.27</v>
      </c>
      <c r="D9" s="40">
        <v>39.18</v>
      </c>
      <c r="E9" s="40">
        <v>399.67</v>
      </c>
      <c r="F9" s="21">
        <v>55.13</v>
      </c>
    </row>
    <row r="10" spans="1:6" x14ac:dyDescent="0.25">
      <c r="A10" s="2">
        <v>2018</v>
      </c>
      <c r="B10" s="39">
        <v>28.54</v>
      </c>
      <c r="C10" s="40">
        <v>1406.14</v>
      </c>
      <c r="D10" s="40">
        <v>38.409999999999997</v>
      </c>
      <c r="E10" s="40">
        <v>368.74</v>
      </c>
      <c r="F10" s="21">
        <v>52.27</v>
      </c>
    </row>
    <row r="11" spans="1:6" x14ac:dyDescent="0.25">
      <c r="A11" s="2">
        <v>2017</v>
      </c>
      <c r="B11" s="39">
        <v>28.07</v>
      </c>
      <c r="C11" s="40">
        <v>1330.42</v>
      </c>
      <c r="D11" s="40">
        <v>36.619999999999997</v>
      </c>
      <c r="E11" s="40">
        <v>351.95</v>
      </c>
      <c r="F11" s="21">
        <v>46.18</v>
      </c>
    </row>
    <row r="12" spans="1:6" x14ac:dyDescent="0.25">
      <c r="A12" s="2">
        <v>2016</v>
      </c>
      <c r="B12" s="39">
        <v>27.58</v>
      </c>
      <c r="C12" s="40">
        <v>1245.9000000000001</v>
      </c>
      <c r="D12" s="40">
        <v>38.130000000000003</v>
      </c>
      <c r="E12" s="40">
        <v>348.99</v>
      </c>
      <c r="F12" s="21">
        <v>43.35</v>
      </c>
    </row>
    <row r="13" spans="1:6" x14ac:dyDescent="0.25">
      <c r="A13" s="2">
        <v>2015</v>
      </c>
      <c r="B13" s="39">
        <v>26.86</v>
      </c>
      <c r="C13" s="40">
        <v>1215.75</v>
      </c>
      <c r="D13" s="40">
        <v>37.72</v>
      </c>
      <c r="E13" s="40">
        <v>349.48</v>
      </c>
      <c r="F13" s="21">
        <v>39.69</v>
      </c>
    </row>
    <row r="14" spans="1:6" x14ac:dyDescent="0.25">
      <c r="A14" s="9">
        <v>2014</v>
      </c>
      <c r="B14" s="41">
        <v>26.5</v>
      </c>
      <c r="C14" s="42">
        <v>1162.04</v>
      </c>
      <c r="D14" s="42">
        <v>36</v>
      </c>
      <c r="E14" s="42">
        <v>340.06</v>
      </c>
      <c r="F14" s="23">
        <v>39.450000000000003</v>
      </c>
    </row>
    <row r="16" spans="1:6" x14ac:dyDescent="0.25">
      <c r="A16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2" spans="1:1" x14ac:dyDescent="0.25">
      <c r="A22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/>
  </sheetViews>
  <sheetFormatPr defaultColWidth="11.42578125" defaultRowHeight="15" x14ac:dyDescent="0.25"/>
  <cols>
    <col min="1" max="1" width="6.7109375" customWidth="1"/>
    <col min="2" max="2" width="32.7109375" customWidth="1"/>
    <col min="3" max="3" width="45.7109375" customWidth="1"/>
    <col min="4" max="4" width="33.7109375" customWidth="1"/>
  </cols>
  <sheetData>
    <row r="1" spans="1:4" x14ac:dyDescent="0.25">
      <c r="A1" t="s">
        <v>215</v>
      </c>
    </row>
    <row r="3" spans="1:4" x14ac:dyDescent="0.25">
      <c r="A3" s="7" t="s">
        <v>21</v>
      </c>
      <c r="B3" s="6" t="s">
        <v>105</v>
      </c>
      <c r="C3" s="6" t="s">
        <v>216</v>
      </c>
      <c r="D3" s="8" t="s">
        <v>217</v>
      </c>
    </row>
    <row r="4" spans="1:4" x14ac:dyDescent="0.25">
      <c r="A4" s="2">
        <v>2024</v>
      </c>
      <c r="B4" s="43">
        <v>5.78</v>
      </c>
      <c r="C4" s="43">
        <v>5.36</v>
      </c>
      <c r="D4" s="4">
        <v>130.79</v>
      </c>
    </row>
    <row r="5" spans="1:4" x14ac:dyDescent="0.25">
      <c r="A5" s="2">
        <v>2023</v>
      </c>
      <c r="B5" s="43">
        <v>5.54</v>
      </c>
      <c r="C5" s="43">
        <v>5.15</v>
      </c>
      <c r="D5" s="4">
        <v>112.72</v>
      </c>
    </row>
    <row r="6" spans="1:4" x14ac:dyDescent="0.25">
      <c r="A6" s="2">
        <v>2022</v>
      </c>
      <c r="B6" s="43">
        <v>5.17</v>
      </c>
      <c r="C6" s="43">
        <v>4.83</v>
      </c>
      <c r="D6" s="4">
        <v>93.19</v>
      </c>
    </row>
    <row r="7" spans="1:4" x14ac:dyDescent="0.25">
      <c r="A7" s="2">
        <v>2021</v>
      </c>
      <c r="B7" s="43">
        <v>4.93</v>
      </c>
      <c r="C7" s="43">
        <v>4.6500000000000004</v>
      </c>
      <c r="D7" s="4">
        <v>62.33</v>
      </c>
    </row>
    <row r="8" spans="1:4" x14ac:dyDescent="0.25">
      <c r="A8" s="2">
        <v>2020</v>
      </c>
      <c r="B8" s="43">
        <v>4.68</v>
      </c>
      <c r="C8" s="43">
        <v>4.42</v>
      </c>
      <c r="D8" s="4">
        <v>58.34</v>
      </c>
    </row>
    <row r="9" spans="1:4" x14ac:dyDescent="0.25">
      <c r="A9" s="2">
        <v>2019</v>
      </c>
      <c r="B9" s="43">
        <v>4.46</v>
      </c>
      <c r="C9" s="43">
        <v>4.1900000000000004</v>
      </c>
      <c r="D9" s="4">
        <v>51.88</v>
      </c>
    </row>
    <row r="10" spans="1:4" x14ac:dyDescent="0.25">
      <c r="A10" s="2">
        <v>2018</v>
      </c>
      <c r="B10" s="43">
        <v>4.3499999999999996</v>
      </c>
      <c r="C10" s="43">
        <v>4.0999999999999996</v>
      </c>
      <c r="D10" s="4">
        <v>45.91</v>
      </c>
    </row>
    <row r="11" spans="1:4" x14ac:dyDescent="0.25">
      <c r="A11" s="2">
        <v>2017</v>
      </c>
      <c r="B11" s="43">
        <v>4.22</v>
      </c>
      <c r="C11" s="43">
        <v>3.96</v>
      </c>
      <c r="D11" s="4">
        <v>39.65</v>
      </c>
    </row>
    <row r="12" spans="1:4" x14ac:dyDescent="0.25">
      <c r="A12" s="2">
        <v>2016</v>
      </c>
      <c r="B12" s="43">
        <v>4.03</v>
      </c>
      <c r="C12" s="43">
        <v>3.78</v>
      </c>
      <c r="D12" s="4">
        <v>36.44</v>
      </c>
    </row>
    <row r="13" spans="1:4" x14ac:dyDescent="0.25">
      <c r="A13" s="2">
        <v>2015</v>
      </c>
      <c r="B13" s="43">
        <v>3.76</v>
      </c>
      <c r="C13" s="43">
        <v>3.54</v>
      </c>
      <c r="D13" s="4">
        <v>33.49</v>
      </c>
    </row>
    <row r="14" spans="1:4" x14ac:dyDescent="0.25">
      <c r="A14" s="9">
        <v>2014</v>
      </c>
      <c r="B14" s="44">
        <v>3.86</v>
      </c>
      <c r="C14" s="44">
        <v>3.64</v>
      </c>
      <c r="D14" s="5">
        <v>33.92</v>
      </c>
    </row>
    <row r="16" spans="1:4" x14ac:dyDescent="0.25">
      <c r="A16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2" spans="1:1" x14ac:dyDescent="0.25">
      <c r="A22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8"/>
  <sheetViews>
    <sheetView workbookViewId="0"/>
  </sheetViews>
  <sheetFormatPr defaultColWidth="11.42578125" defaultRowHeight="15" x14ac:dyDescent="0.25"/>
  <cols>
    <col min="1" max="1" width="6.7109375" customWidth="1"/>
    <col min="2" max="2" width="52.7109375" customWidth="1"/>
    <col min="3" max="3" width="51.7109375" customWidth="1"/>
    <col min="4" max="4" width="53.7109375" customWidth="1"/>
    <col min="5" max="5" width="71.7109375" customWidth="1"/>
    <col min="6" max="6" width="70.7109375" customWidth="1"/>
    <col min="7" max="7" width="72.7109375" customWidth="1"/>
  </cols>
  <sheetData>
    <row r="1" spans="1:7" x14ac:dyDescent="0.25">
      <c r="A1" t="s">
        <v>219</v>
      </c>
    </row>
    <row r="3" spans="1:7" x14ac:dyDescent="0.25">
      <c r="A3" s="7" t="s">
        <v>21</v>
      </c>
      <c r="B3" s="6" t="s">
        <v>220</v>
      </c>
      <c r="C3" s="6" t="s">
        <v>221</v>
      </c>
      <c r="D3" s="6" t="s">
        <v>222</v>
      </c>
      <c r="E3" s="6" t="s">
        <v>223</v>
      </c>
      <c r="F3" s="6" t="s">
        <v>224</v>
      </c>
      <c r="G3" s="8" t="s">
        <v>225</v>
      </c>
    </row>
    <row r="4" spans="1:7" x14ac:dyDescent="0.25">
      <c r="A4" s="2">
        <v>2024</v>
      </c>
      <c r="B4" s="45">
        <v>750.72</v>
      </c>
      <c r="C4" s="45">
        <v>59.99</v>
      </c>
      <c r="D4">
        <v>12.51</v>
      </c>
      <c r="E4" s="45">
        <v>218.19</v>
      </c>
      <c r="F4" s="45">
        <v>13.93</v>
      </c>
      <c r="G4" s="4">
        <v>15.66</v>
      </c>
    </row>
    <row r="5" spans="1:7" x14ac:dyDescent="0.25">
      <c r="A5" s="2">
        <v>2023</v>
      </c>
      <c r="B5" s="45">
        <v>750.77</v>
      </c>
      <c r="C5" s="45">
        <v>58.8</v>
      </c>
      <c r="D5">
        <v>12.77</v>
      </c>
      <c r="E5" s="45">
        <v>206.22</v>
      </c>
      <c r="F5" s="45">
        <v>13.01</v>
      </c>
      <c r="G5" s="4">
        <v>15.85</v>
      </c>
    </row>
    <row r="6" spans="1:7" x14ac:dyDescent="0.25">
      <c r="A6" s="2">
        <v>2022</v>
      </c>
      <c r="B6" s="45">
        <v>730.86</v>
      </c>
      <c r="C6" s="45">
        <v>55.82</v>
      </c>
      <c r="D6">
        <v>13.09</v>
      </c>
      <c r="E6" s="45">
        <v>191.36</v>
      </c>
      <c r="F6" s="45">
        <v>12.27</v>
      </c>
      <c r="G6" s="4">
        <v>15.6</v>
      </c>
    </row>
    <row r="7" spans="1:7" x14ac:dyDescent="0.25">
      <c r="A7" s="2">
        <v>2021</v>
      </c>
      <c r="B7" s="45">
        <v>772.62</v>
      </c>
      <c r="C7" s="45">
        <v>56.59</v>
      </c>
      <c r="D7">
        <v>13.65</v>
      </c>
      <c r="E7" s="45">
        <v>184.52</v>
      </c>
      <c r="F7" s="45">
        <v>11.57</v>
      </c>
      <c r="G7" s="4">
        <v>15.95</v>
      </c>
    </row>
    <row r="8" spans="1:7" x14ac:dyDescent="0.25">
      <c r="A8" s="2">
        <v>2020</v>
      </c>
      <c r="B8" s="45">
        <v>845.68</v>
      </c>
      <c r="C8" s="45">
        <v>59.41</v>
      </c>
      <c r="D8">
        <v>14.23</v>
      </c>
      <c r="E8" s="45">
        <v>186.18</v>
      </c>
      <c r="F8" s="45">
        <v>11.58</v>
      </c>
      <c r="G8" s="4">
        <v>16.079999999999998</v>
      </c>
    </row>
    <row r="9" spans="1:7" x14ac:dyDescent="0.25">
      <c r="A9" s="2">
        <v>2019</v>
      </c>
      <c r="B9" s="45">
        <v>798.45</v>
      </c>
      <c r="C9" s="45">
        <v>59.74</v>
      </c>
      <c r="D9">
        <v>13.37</v>
      </c>
      <c r="E9" s="45">
        <v>185.5</v>
      </c>
      <c r="F9" s="45">
        <v>11.63</v>
      </c>
      <c r="G9" s="4">
        <v>15.95</v>
      </c>
    </row>
    <row r="10" spans="1:7" x14ac:dyDescent="0.25">
      <c r="A10" s="2">
        <v>2018</v>
      </c>
      <c r="B10" s="45">
        <v>832.65</v>
      </c>
      <c r="C10" s="45">
        <v>59.43</v>
      </c>
      <c r="D10">
        <v>14.01</v>
      </c>
      <c r="E10" s="45">
        <v>176.62</v>
      </c>
      <c r="F10" s="45">
        <v>10.82</v>
      </c>
      <c r="G10" s="4">
        <v>16.329999999999998</v>
      </c>
    </row>
    <row r="11" spans="1:7" x14ac:dyDescent="0.25">
      <c r="A11" s="2">
        <v>2017</v>
      </c>
      <c r="B11" s="45">
        <v>837.12</v>
      </c>
      <c r="C11" s="45">
        <v>59.51</v>
      </c>
      <c r="D11">
        <v>14.07</v>
      </c>
      <c r="E11" s="45">
        <v>159.69999999999999</v>
      </c>
      <c r="F11" s="45">
        <v>9.8699999999999992</v>
      </c>
      <c r="G11" s="4">
        <v>16.18</v>
      </c>
    </row>
    <row r="12" spans="1:7" x14ac:dyDescent="0.25">
      <c r="A12" s="2">
        <v>2016</v>
      </c>
      <c r="B12" s="45">
        <v>862.54</v>
      </c>
      <c r="C12" s="45">
        <v>60.67</v>
      </c>
      <c r="D12">
        <v>14.22</v>
      </c>
      <c r="E12" s="45">
        <v>153.38999999999999</v>
      </c>
      <c r="F12" s="45">
        <v>9.5399999999999991</v>
      </c>
      <c r="G12" s="4">
        <v>16.07</v>
      </c>
    </row>
    <row r="13" spans="1:7" x14ac:dyDescent="0.25">
      <c r="A13" s="2">
        <v>2015</v>
      </c>
      <c r="B13" s="45">
        <v>876.76</v>
      </c>
      <c r="C13" s="45">
        <v>61.54</v>
      </c>
      <c r="D13">
        <v>14.25</v>
      </c>
      <c r="E13" s="45">
        <v>132.13999999999999</v>
      </c>
      <c r="F13" s="45">
        <v>8.1</v>
      </c>
      <c r="G13" s="4">
        <v>16.32</v>
      </c>
    </row>
    <row r="14" spans="1:7" x14ac:dyDescent="0.25">
      <c r="A14" s="9">
        <v>2014</v>
      </c>
      <c r="B14" s="46">
        <v>873.47</v>
      </c>
      <c r="C14" s="46">
        <v>61.99</v>
      </c>
      <c r="D14" s="10">
        <v>14.09</v>
      </c>
      <c r="E14" s="46">
        <v>117.86</v>
      </c>
      <c r="F14" s="46">
        <v>7.57</v>
      </c>
      <c r="G14" s="5">
        <v>15.57</v>
      </c>
    </row>
    <row r="16" spans="1:7" x14ac:dyDescent="0.25">
      <c r="A16" t="s">
        <v>227</v>
      </c>
    </row>
    <row r="18" spans="1:1" x14ac:dyDescent="0.25">
      <c r="A18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workbookViewId="0"/>
  </sheetViews>
  <sheetFormatPr defaultColWidth="11.42578125" defaultRowHeight="15" x14ac:dyDescent="0.25"/>
  <cols>
    <col min="1" max="1" width="49.7109375" customWidth="1"/>
    <col min="2" max="5" width="9.7109375" customWidth="1"/>
  </cols>
  <sheetData>
    <row r="1" spans="1:5" x14ac:dyDescent="0.25">
      <c r="A1" t="s">
        <v>3</v>
      </c>
    </row>
    <row r="3" spans="1:5" x14ac:dyDescent="0.25">
      <c r="A3" s="7"/>
      <c r="B3" s="6" t="s">
        <v>4</v>
      </c>
      <c r="C3" s="6" t="s">
        <v>5</v>
      </c>
      <c r="D3" s="6" t="s">
        <v>6</v>
      </c>
      <c r="E3" s="8" t="s">
        <v>7</v>
      </c>
    </row>
    <row r="4" spans="1:5" x14ac:dyDescent="0.25">
      <c r="A4" s="2" t="s">
        <v>8</v>
      </c>
      <c r="B4">
        <v>2603</v>
      </c>
      <c r="C4">
        <v>3041</v>
      </c>
      <c r="D4">
        <v>3507</v>
      </c>
      <c r="E4" s="4">
        <v>4005</v>
      </c>
    </row>
    <row r="5" spans="1:5" x14ac:dyDescent="0.25">
      <c r="A5" s="2" t="s">
        <v>9</v>
      </c>
      <c r="B5">
        <v>988</v>
      </c>
      <c r="C5">
        <v>1249</v>
      </c>
      <c r="D5">
        <v>1556</v>
      </c>
      <c r="E5" s="4">
        <v>1914</v>
      </c>
    </row>
    <row r="6" spans="1:5" x14ac:dyDescent="0.25">
      <c r="A6" s="2" t="s">
        <v>10</v>
      </c>
      <c r="B6" s="97">
        <v>0.38</v>
      </c>
      <c r="C6" s="97">
        <v>0.42</v>
      </c>
      <c r="D6" s="97">
        <v>0.46</v>
      </c>
      <c r="E6" s="98">
        <v>0.51</v>
      </c>
    </row>
    <row r="7" spans="1:5" x14ac:dyDescent="0.25">
      <c r="A7" s="9" t="s">
        <v>11</v>
      </c>
      <c r="B7" s="99">
        <v>0.14000000000000001</v>
      </c>
      <c r="C7" s="99">
        <v>0.17</v>
      </c>
      <c r="D7" s="99">
        <v>0.2</v>
      </c>
      <c r="E7" s="100">
        <v>0.24</v>
      </c>
    </row>
    <row r="9" spans="1:5" x14ac:dyDescent="0.25">
      <c r="A9" t="s">
        <v>13</v>
      </c>
    </row>
    <row r="11" spans="1:5" x14ac:dyDescent="0.25">
      <c r="A11" t="s">
        <v>14</v>
      </c>
    </row>
    <row r="13" spans="1:5" x14ac:dyDescent="0.25">
      <c r="A13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22"/>
  <sheetViews>
    <sheetView workbookViewId="0"/>
  </sheetViews>
  <sheetFormatPr defaultColWidth="11.42578125" defaultRowHeight="15" x14ac:dyDescent="0.25"/>
  <cols>
    <col min="1" max="1" width="6.7109375" customWidth="1"/>
    <col min="2" max="3" width="49.7109375" customWidth="1"/>
    <col min="4" max="4" width="38.7109375" customWidth="1"/>
  </cols>
  <sheetData>
    <row r="1" spans="1:4" x14ac:dyDescent="0.25">
      <c r="A1" t="s">
        <v>228</v>
      </c>
    </row>
    <row r="3" spans="1:4" x14ac:dyDescent="0.25">
      <c r="A3" s="7" t="s">
        <v>21</v>
      </c>
      <c r="B3" s="6" t="s">
        <v>229</v>
      </c>
      <c r="C3" s="6" t="s">
        <v>230</v>
      </c>
      <c r="D3" s="8" t="s">
        <v>231</v>
      </c>
    </row>
    <row r="4" spans="1:4" x14ac:dyDescent="0.25">
      <c r="A4" s="2">
        <v>2024</v>
      </c>
      <c r="B4">
        <v>1.84</v>
      </c>
      <c r="C4">
        <v>1.85</v>
      </c>
      <c r="D4" s="4">
        <v>1.85</v>
      </c>
    </row>
    <row r="5" spans="1:4" x14ac:dyDescent="0.25">
      <c r="A5" s="2">
        <v>2023</v>
      </c>
      <c r="B5">
        <v>1.4</v>
      </c>
      <c r="C5">
        <v>1.41</v>
      </c>
      <c r="D5" s="4">
        <v>1.4</v>
      </c>
    </row>
    <row r="6" spans="1:4" x14ac:dyDescent="0.25">
      <c r="A6" s="2">
        <v>2022</v>
      </c>
      <c r="B6">
        <v>1.0900000000000001</v>
      </c>
      <c r="C6">
        <v>1.0900000000000001</v>
      </c>
      <c r="D6" s="4">
        <v>1.0900000000000001</v>
      </c>
    </row>
    <row r="7" spans="1:4" x14ac:dyDescent="0.25">
      <c r="A7" s="2">
        <v>2021</v>
      </c>
      <c r="B7">
        <v>0.93</v>
      </c>
      <c r="C7">
        <v>0.93</v>
      </c>
      <c r="D7" s="4">
        <v>0.93</v>
      </c>
    </row>
    <row r="8" spans="1:4" x14ac:dyDescent="0.25">
      <c r="A8" s="2">
        <v>2020</v>
      </c>
      <c r="B8">
        <v>0.9</v>
      </c>
      <c r="C8">
        <v>0.9</v>
      </c>
      <c r="D8" s="4">
        <v>0.9</v>
      </c>
    </row>
    <row r="9" spans="1:4" x14ac:dyDescent="0.25">
      <c r="A9" s="2">
        <v>2019</v>
      </c>
      <c r="B9">
        <v>0.91</v>
      </c>
      <c r="C9">
        <v>0.92</v>
      </c>
      <c r="D9" s="4">
        <v>0.92</v>
      </c>
    </row>
    <row r="10" spans="1:4" x14ac:dyDescent="0.25">
      <c r="A10" s="2">
        <v>2018</v>
      </c>
      <c r="B10">
        <v>0.87</v>
      </c>
      <c r="C10">
        <v>0.88</v>
      </c>
      <c r="D10" s="4">
        <v>0.88</v>
      </c>
    </row>
    <row r="11" spans="1:4" x14ac:dyDescent="0.25">
      <c r="A11" s="2">
        <v>2017</v>
      </c>
      <c r="B11">
        <v>0.83</v>
      </c>
      <c r="C11">
        <v>0.83</v>
      </c>
      <c r="D11" s="4">
        <v>0.83</v>
      </c>
    </row>
    <row r="12" spans="1:4" x14ac:dyDescent="0.25">
      <c r="A12" s="2">
        <v>2016</v>
      </c>
      <c r="B12">
        <v>0.79</v>
      </c>
      <c r="C12">
        <v>0.79</v>
      </c>
      <c r="D12" s="4">
        <v>0.79</v>
      </c>
    </row>
    <row r="13" spans="1:4" x14ac:dyDescent="0.25">
      <c r="A13" s="2">
        <v>2015</v>
      </c>
      <c r="B13">
        <v>0.77</v>
      </c>
      <c r="C13">
        <v>0.77</v>
      </c>
      <c r="D13" s="4">
        <v>0.77</v>
      </c>
    </row>
    <row r="14" spans="1:4" x14ac:dyDescent="0.25">
      <c r="A14" s="9">
        <v>2014</v>
      </c>
      <c r="B14" s="10">
        <v>0.74</v>
      </c>
      <c r="C14" s="10">
        <v>0.74</v>
      </c>
      <c r="D14" s="5">
        <v>0.74</v>
      </c>
    </row>
    <row r="16" spans="1:4" x14ac:dyDescent="0.25">
      <c r="A16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2" spans="1:1" x14ac:dyDescent="0.25">
      <c r="A22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2"/>
  <sheetViews>
    <sheetView workbookViewId="0"/>
  </sheetViews>
  <sheetFormatPr defaultColWidth="11.42578125" defaultRowHeight="15" x14ac:dyDescent="0.25"/>
  <cols>
    <col min="1" max="1" width="6.7109375" customWidth="1"/>
    <col min="2" max="2" width="27.7109375" customWidth="1"/>
    <col min="3" max="3" width="32.7109375" customWidth="1"/>
    <col min="4" max="4" width="41.7109375" customWidth="1"/>
  </cols>
  <sheetData>
    <row r="1" spans="1:4" x14ac:dyDescent="0.25">
      <c r="A1" t="s">
        <v>233</v>
      </c>
    </row>
    <row r="3" spans="1:4" x14ac:dyDescent="0.25">
      <c r="A3" s="7" t="s">
        <v>21</v>
      </c>
      <c r="B3" s="6" t="s">
        <v>104</v>
      </c>
      <c r="C3" s="6" t="s">
        <v>105</v>
      </c>
      <c r="D3" s="8" t="s">
        <v>106</v>
      </c>
    </row>
    <row r="4" spans="1:4" x14ac:dyDescent="0.25">
      <c r="A4" s="2">
        <v>2024</v>
      </c>
      <c r="B4" s="47">
        <v>281.26</v>
      </c>
      <c r="C4" s="47">
        <v>145.5</v>
      </c>
      <c r="D4" s="21">
        <v>1104.99</v>
      </c>
    </row>
    <row r="5" spans="1:4" x14ac:dyDescent="0.25">
      <c r="A5" s="2">
        <v>2023</v>
      </c>
      <c r="B5" s="47">
        <v>268.79000000000002</v>
      </c>
      <c r="C5" s="47">
        <v>134.12</v>
      </c>
      <c r="D5" s="21">
        <v>925.07</v>
      </c>
    </row>
    <row r="6" spans="1:4" x14ac:dyDescent="0.25">
      <c r="A6" s="2">
        <v>2022</v>
      </c>
      <c r="B6" s="47">
        <v>250.21</v>
      </c>
      <c r="C6" s="47">
        <v>122.44</v>
      </c>
      <c r="D6" s="21">
        <v>662.85</v>
      </c>
    </row>
    <row r="7" spans="1:4" x14ac:dyDescent="0.25">
      <c r="A7" s="2">
        <v>2021</v>
      </c>
      <c r="B7" s="47">
        <v>226.57</v>
      </c>
      <c r="C7" s="47">
        <v>106.37</v>
      </c>
      <c r="D7" s="21">
        <v>453.35</v>
      </c>
    </row>
    <row r="8" spans="1:4" x14ac:dyDescent="0.25">
      <c r="A8" s="2">
        <v>2020</v>
      </c>
      <c r="B8" s="47">
        <v>189.84</v>
      </c>
      <c r="C8" s="47">
        <v>92.46</v>
      </c>
      <c r="D8" s="21">
        <v>372.88</v>
      </c>
    </row>
    <row r="9" spans="1:4" x14ac:dyDescent="0.25">
      <c r="A9" s="2">
        <v>2019</v>
      </c>
      <c r="B9" s="47">
        <v>247.04</v>
      </c>
      <c r="C9" s="47">
        <v>124.63</v>
      </c>
      <c r="D9" s="21">
        <v>469.94</v>
      </c>
    </row>
    <row r="10" spans="1:4" x14ac:dyDescent="0.25">
      <c r="A10" s="2">
        <v>2018</v>
      </c>
      <c r="B10" s="47">
        <v>245.46</v>
      </c>
      <c r="C10" s="47">
        <v>124.34</v>
      </c>
      <c r="D10" s="21">
        <v>409.58</v>
      </c>
    </row>
    <row r="11" spans="1:4" x14ac:dyDescent="0.25">
      <c r="A11" s="2">
        <v>2017</v>
      </c>
      <c r="B11" s="47">
        <v>252.52</v>
      </c>
      <c r="C11" s="47">
        <v>129.27000000000001</v>
      </c>
      <c r="D11" s="21">
        <v>414.02</v>
      </c>
    </row>
    <row r="12" spans="1:4" x14ac:dyDescent="0.25">
      <c r="A12" s="2">
        <v>2016</v>
      </c>
      <c r="B12" s="47">
        <v>260.27</v>
      </c>
      <c r="C12" s="47">
        <v>130.91999999999999</v>
      </c>
      <c r="D12" s="21">
        <v>405.91</v>
      </c>
    </row>
    <row r="13" spans="1:4" x14ac:dyDescent="0.25">
      <c r="A13" s="2">
        <v>2015</v>
      </c>
      <c r="B13" s="47">
        <v>262.83</v>
      </c>
      <c r="C13" s="47">
        <v>132.44</v>
      </c>
      <c r="D13" s="21">
        <v>414.24</v>
      </c>
    </row>
    <row r="14" spans="1:4" x14ac:dyDescent="0.25">
      <c r="A14" s="9">
        <v>2014</v>
      </c>
      <c r="B14" s="48">
        <v>259.83</v>
      </c>
      <c r="C14" s="48">
        <v>131.5</v>
      </c>
      <c r="D14" s="23">
        <v>407.77</v>
      </c>
    </row>
    <row r="16" spans="1:4" x14ac:dyDescent="0.25">
      <c r="A16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2" spans="1:1" x14ac:dyDescent="0.25">
      <c r="A22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18"/>
  <sheetViews>
    <sheetView workbookViewId="0"/>
  </sheetViews>
  <sheetFormatPr defaultColWidth="11.42578125" defaultRowHeight="15" x14ac:dyDescent="0.25"/>
  <cols>
    <col min="1" max="1" width="6.7109375" customWidth="1"/>
    <col min="2" max="2" width="41.7109375" customWidth="1"/>
    <col min="3" max="3" width="40.7109375" customWidth="1"/>
    <col min="4" max="4" width="42.7109375" customWidth="1"/>
  </cols>
  <sheetData>
    <row r="1" spans="1:4" x14ac:dyDescent="0.25">
      <c r="A1" t="s">
        <v>235</v>
      </c>
    </row>
    <row r="3" spans="1:4" x14ac:dyDescent="0.25">
      <c r="A3" s="7" t="s">
        <v>21</v>
      </c>
      <c r="B3" s="6" t="s">
        <v>236</v>
      </c>
      <c r="C3" s="6" t="s">
        <v>237</v>
      </c>
      <c r="D3" s="8" t="s">
        <v>238</v>
      </c>
    </row>
    <row r="4" spans="1:4" x14ac:dyDescent="0.25">
      <c r="A4" s="2">
        <v>2024</v>
      </c>
      <c r="B4" s="49">
        <v>1448.9</v>
      </c>
      <c r="C4" s="49">
        <v>83.71</v>
      </c>
      <c r="D4" s="4">
        <v>17.309999999999999</v>
      </c>
    </row>
    <row r="5" spans="1:4" x14ac:dyDescent="0.25">
      <c r="A5" s="2">
        <v>2023</v>
      </c>
      <c r="B5" s="49">
        <v>1382.73</v>
      </c>
      <c r="C5" s="49">
        <v>80.209999999999994</v>
      </c>
      <c r="D5" s="4">
        <v>17.239999999999998</v>
      </c>
    </row>
    <row r="6" spans="1:4" x14ac:dyDescent="0.25">
      <c r="A6" s="2">
        <v>2022</v>
      </c>
      <c r="B6" s="49">
        <v>1277.99</v>
      </c>
      <c r="C6" s="49">
        <v>74.010000000000005</v>
      </c>
      <c r="D6" s="4">
        <v>17.27</v>
      </c>
    </row>
    <row r="7" spans="1:4" x14ac:dyDescent="0.25">
      <c r="A7" s="2">
        <v>2021</v>
      </c>
      <c r="B7" s="49">
        <v>1139.23</v>
      </c>
      <c r="C7" s="49">
        <v>65.69</v>
      </c>
      <c r="D7" s="4">
        <v>17.34</v>
      </c>
    </row>
    <row r="8" spans="1:4" x14ac:dyDescent="0.25">
      <c r="A8" s="2">
        <v>2020</v>
      </c>
      <c r="B8" s="49">
        <v>1035.5</v>
      </c>
      <c r="C8" s="49">
        <v>58.98</v>
      </c>
      <c r="D8" s="4">
        <v>17.559999999999999</v>
      </c>
    </row>
    <row r="9" spans="1:4" x14ac:dyDescent="0.25">
      <c r="A9" s="2">
        <v>2019</v>
      </c>
      <c r="B9" s="49">
        <v>1313.93</v>
      </c>
      <c r="C9" s="49">
        <v>73.7</v>
      </c>
      <c r="D9" s="4">
        <v>17.829999999999998</v>
      </c>
    </row>
    <row r="10" spans="1:4" x14ac:dyDescent="0.25">
      <c r="A10" s="2">
        <v>2018</v>
      </c>
      <c r="B10" s="49">
        <v>1292.33</v>
      </c>
      <c r="C10" s="49">
        <v>71.239999999999995</v>
      </c>
      <c r="D10" s="4">
        <v>18.14</v>
      </c>
    </row>
    <row r="11" spans="1:4" x14ac:dyDescent="0.25">
      <c r="A11" s="2">
        <v>2017</v>
      </c>
      <c r="B11" s="49">
        <v>1356.8</v>
      </c>
      <c r="C11" s="49">
        <v>74.5</v>
      </c>
      <c r="D11" s="4">
        <v>18.21</v>
      </c>
    </row>
    <row r="12" spans="1:4" x14ac:dyDescent="0.25">
      <c r="A12" s="2">
        <v>2016</v>
      </c>
      <c r="B12" s="49">
        <v>1348.62</v>
      </c>
      <c r="C12" s="49">
        <v>74.62</v>
      </c>
      <c r="D12" s="4">
        <v>18.07</v>
      </c>
    </row>
    <row r="13" spans="1:4" x14ac:dyDescent="0.25">
      <c r="A13" s="2">
        <v>2015</v>
      </c>
      <c r="B13" s="49">
        <v>1321.91</v>
      </c>
      <c r="C13" s="49">
        <v>73.25</v>
      </c>
      <c r="D13" s="4">
        <v>18.05</v>
      </c>
    </row>
    <row r="14" spans="1:4" x14ac:dyDescent="0.25">
      <c r="A14" s="9">
        <v>2014</v>
      </c>
      <c r="B14" s="50">
        <v>1235.52</v>
      </c>
      <c r="C14" s="50">
        <v>68.8</v>
      </c>
      <c r="D14" s="5">
        <v>17.96</v>
      </c>
    </row>
    <row r="16" spans="1:4" x14ac:dyDescent="0.25">
      <c r="A16" t="s">
        <v>227</v>
      </c>
    </row>
    <row r="18" spans="1:1" x14ac:dyDescent="0.25">
      <c r="A18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22"/>
  <sheetViews>
    <sheetView workbookViewId="0"/>
  </sheetViews>
  <sheetFormatPr defaultColWidth="11.42578125" defaultRowHeight="15" x14ac:dyDescent="0.25"/>
  <cols>
    <col min="1" max="1" width="6.7109375" customWidth="1"/>
    <col min="2" max="2" width="27.7109375" customWidth="1"/>
    <col min="3" max="3" width="32.7109375" customWidth="1"/>
    <col min="4" max="4" width="41.7109375" customWidth="1"/>
  </cols>
  <sheetData>
    <row r="1" spans="1:4" x14ac:dyDescent="0.25">
      <c r="A1" t="s">
        <v>240</v>
      </c>
    </row>
    <row r="3" spans="1:4" x14ac:dyDescent="0.25">
      <c r="A3" s="7" t="s">
        <v>21</v>
      </c>
      <c r="B3" s="6" t="s">
        <v>104</v>
      </c>
      <c r="C3" s="6" t="s">
        <v>105</v>
      </c>
      <c r="D3" s="8" t="s">
        <v>106</v>
      </c>
    </row>
    <row r="4" spans="1:4" x14ac:dyDescent="0.25">
      <c r="A4" s="2">
        <v>2024</v>
      </c>
      <c r="B4" s="51">
        <v>1262.19</v>
      </c>
      <c r="C4" s="51">
        <v>7.09</v>
      </c>
      <c r="D4" s="21">
        <v>86.31</v>
      </c>
    </row>
    <row r="5" spans="1:4" x14ac:dyDescent="0.25">
      <c r="A5" s="2">
        <v>2023</v>
      </c>
      <c r="B5" s="51">
        <v>1246.24</v>
      </c>
      <c r="C5" s="51">
        <v>8.6300000000000008</v>
      </c>
      <c r="D5" s="21">
        <v>74.510000000000005</v>
      </c>
    </row>
    <row r="6" spans="1:4" x14ac:dyDescent="0.25">
      <c r="A6" s="2">
        <v>2022</v>
      </c>
      <c r="B6" s="51">
        <v>1107.1099999999999</v>
      </c>
      <c r="C6" s="51">
        <v>18.36</v>
      </c>
      <c r="D6" s="21">
        <v>151.87</v>
      </c>
    </row>
    <row r="7" spans="1:4" x14ac:dyDescent="0.25">
      <c r="A7" s="2">
        <v>2021</v>
      </c>
      <c r="B7" s="51">
        <v>979.59</v>
      </c>
      <c r="C7" s="51">
        <v>10.96</v>
      </c>
      <c r="D7" s="21">
        <v>72.319999999999993</v>
      </c>
    </row>
    <row r="8" spans="1:4" x14ac:dyDescent="0.25">
      <c r="A8" s="2">
        <v>2020</v>
      </c>
      <c r="B8" s="51">
        <v>748.4</v>
      </c>
      <c r="C8" s="51">
        <v>10.68</v>
      </c>
      <c r="D8" s="21">
        <v>64.16</v>
      </c>
    </row>
    <row r="9" spans="1:4" x14ac:dyDescent="0.25">
      <c r="A9" s="2">
        <v>2019</v>
      </c>
      <c r="B9" s="51">
        <v>998.92</v>
      </c>
      <c r="C9" s="51">
        <v>14.67</v>
      </c>
      <c r="D9" s="21">
        <v>79.510000000000005</v>
      </c>
    </row>
    <row r="10" spans="1:4" x14ac:dyDescent="0.25">
      <c r="A10" s="2">
        <v>2018</v>
      </c>
      <c r="B10" s="51">
        <v>971.03</v>
      </c>
      <c r="C10" s="51">
        <v>13.21</v>
      </c>
      <c r="D10" s="21">
        <v>64.7</v>
      </c>
    </row>
    <row r="11" spans="1:4" x14ac:dyDescent="0.25">
      <c r="A11" s="2">
        <v>2017</v>
      </c>
      <c r="B11" s="51">
        <v>1040.23</v>
      </c>
      <c r="C11" s="51">
        <v>10.49</v>
      </c>
      <c r="D11" s="21">
        <v>50.83</v>
      </c>
    </row>
    <row r="12" spans="1:4" x14ac:dyDescent="0.25">
      <c r="A12" s="2">
        <v>2016</v>
      </c>
      <c r="B12" s="51">
        <v>1075.25</v>
      </c>
      <c r="C12" s="51">
        <v>10.24</v>
      </c>
      <c r="D12" s="21">
        <v>48.16</v>
      </c>
    </row>
    <row r="13" spans="1:4" x14ac:dyDescent="0.25">
      <c r="A13" s="2">
        <v>2015</v>
      </c>
      <c r="B13" s="51">
        <v>1046.2</v>
      </c>
      <c r="C13" s="51">
        <v>8.61</v>
      </c>
      <c r="D13" s="21">
        <v>40.42</v>
      </c>
    </row>
    <row r="14" spans="1:4" x14ac:dyDescent="0.25">
      <c r="A14" s="9">
        <v>2014</v>
      </c>
      <c r="B14" s="52">
        <v>1080.3699999999999</v>
      </c>
      <c r="C14" s="52">
        <v>8.0500000000000007</v>
      </c>
      <c r="D14" s="23">
        <v>36.770000000000003</v>
      </c>
    </row>
    <row r="16" spans="1:4" x14ac:dyDescent="0.25">
      <c r="A16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2" spans="1:1" x14ac:dyDescent="0.25">
      <c r="A22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18"/>
  <sheetViews>
    <sheetView workbookViewId="0"/>
  </sheetViews>
  <sheetFormatPr defaultColWidth="11.42578125" defaultRowHeight="15" x14ac:dyDescent="0.25"/>
  <cols>
    <col min="1" max="1" width="6.7109375" customWidth="1"/>
    <col min="2" max="2" width="26.7109375" customWidth="1"/>
  </cols>
  <sheetData>
    <row r="1" spans="1:2" x14ac:dyDescent="0.25">
      <c r="A1" t="s">
        <v>242</v>
      </c>
    </row>
    <row r="3" spans="1:2" x14ac:dyDescent="0.25">
      <c r="A3" s="7" t="s">
        <v>21</v>
      </c>
      <c r="B3" s="8" t="s">
        <v>243</v>
      </c>
    </row>
    <row r="4" spans="1:2" x14ac:dyDescent="0.25">
      <c r="A4" s="2">
        <v>2024</v>
      </c>
      <c r="B4" s="53">
        <v>6.5</v>
      </c>
    </row>
    <row r="5" spans="1:2" x14ac:dyDescent="0.25">
      <c r="A5" s="2">
        <v>2023</v>
      </c>
      <c r="B5" s="53">
        <v>6.2</v>
      </c>
    </row>
    <row r="6" spans="1:2" x14ac:dyDescent="0.25">
      <c r="A6" s="2">
        <v>2022</v>
      </c>
      <c r="B6" s="53">
        <v>5.8</v>
      </c>
    </row>
    <row r="7" spans="1:2" x14ac:dyDescent="0.25">
      <c r="A7" s="2">
        <v>2021</v>
      </c>
      <c r="B7" s="53">
        <v>5.5</v>
      </c>
    </row>
    <row r="8" spans="1:2" x14ac:dyDescent="0.25">
      <c r="A8" s="2">
        <v>2020</v>
      </c>
      <c r="B8" s="53">
        <v>5.2</v>
      </c>
    </row>
    <row r="9" spans="1:2" x14ac:dyDescent="0.25">
      <c r="A9" s="2">
        <v>2019</v>
      </c>
      <c r="B9" s="53">
        <v>5.4</v>
      </c>
    </row>
    <row r="10" spans="1:2" x14ac:dyDescent="0.25">
      <c r="A10" s="2">
        <v>2018</v>
      </c>
      <c r="B10" s="53">
        <v>5.3</v>
      </c>
    </row>
    <row r="11" spans="1:2" x14ac:dyDescent="0.25">
      <c r="A11" s="2">
        <v>2017</v>
      </c>
      <c r="B11" s="53">
        <v>5.0999999999999996</v>
      </c>
    </row>
    <row r="12" spans="1:2" x14ac:dyDescent="0.25">
      <c r="A12" s="2">
        <v>2016</v>
      </c>
      <c r="B12" s="53">
        <v>4.9000000000000004</v>
      </c>
    </row>
    <row r="13" spans="1:2" x14ac:dyDescent="0.25">
      <c r="A13" s="2">
        <v>2015</v>
      </c>
      <c r="B13" s="53">
        <v>4.7</v>
      </c>
    </row>
    <row r="14" spans="1:2" x14ac:dyDescent="0.25">
      <c r="A14" s="9">
        <v>2014</v>
      </c>
      <c r="B14" s="54">
        <v>4.5999999999999996</v>
      </c>
    </row>
    <row r="16" spans="1:2" x14ac:dyDescent="0.25">
      <c r="A16" t="s">
        <v>108</v>
      </c>
    </row>
    <row r="18" spans="1:1" x14ac:dyDescent="0.25">
      <c r="A18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18"/>
  <sheetViews>
    <sheetView workbookViewId="0"/>
  </sheetViews>
  <sheetFormatPr defaultColWidth="11.42578125" defaultRowHeight="15" x14ac:dyDescent="0.25"/>
  <cols>
    <col min="1" max="1" width="6.7109375" customWidth="1"/>
    <col min="2" max="2" width="41.7109375" customWidth="1"/>
    <col min="3" max="3" width="40.7109375" customWidth="1"/>
    <col min="4" max="4" width="42.7109375" customWidth="1"/>
  </cols>
  <sheetData>
    <row r="1" spans="1:4" x14ac:dyDescent="0.25">
      <c r="A1" t="s">
        <v>245</v>
      </c>
    </row>
    <row r="3" spans="1:4" x14ac:dyDescent="0.25">
      <c r="A3" s="7" t="s">
        <v>21</v>
      </c>
      <c r="B3" s="6" t="s">
        <v>236</v>
      </c>
      <c r="C3" s="6" t="s">
        <v>237</v>
      </c>
      <c r="D3" s="8" t="s">
        <v>238</v>
      </c>
    </row>
    <row r="4" spans="1:4" x14ac:dyDescent="0.25">
      <c r="A4" s="2">
        <v>2024</v>
      </c>
      <c r="B4" s="55">
        <v>26.58</v>
      </c>
      <c r="C4" s="55">
        <v>4.0599999999999996</v>
      </c>
      <c r="D4" s="4">
        <v>6.55</v>
      </c>
    </row>
    <row r="5" spans="1:4" x14ac:dyDescent="0.25">
      <c r="A5" s="2">
        <v>2023</v>
      </c>
      <c r="B5" s="55">
        <v>30.4</v>
      </c>
      <c r="C5" s="55">
        <v>3.92</v>
      </c>
      <c r="D5" s="4">
        <v>7.75</v>
      </c>
    </row>
    <row r="6" spans="1:4" x14ac:dyDescent="0.25">
      <c r="A6" s="2">
        <v>2022</v>
      </c>
      <c r="B6" s="55">
        <v>32.06</v>
      </c>
      <c r="C6" s="55">
        <v>3.76</v>
      </c>
      <c r="D6" s="4">
        <v>8.52</v>
      </c>
    </row>
    <row r="7" spans="1:4" x14ac:dyDescent="0.25">
      <c r="A7" s="2">
        <v>2021</v>
      </c>
      <c r="B7" s="55">
        <v>22.83</v>
      </c>
      <c r="C7" s="55">
        <v>2.65</v>
      </c>
      <c r="D7" s="4">
        <v>8.6300000000000008</v>
      </c>
    </row>
    <row r="8" spans="1:4" x14ac:dyDescent="0.25">
      <c r="A8" s="2">
        <v>2020</v>
      </c>
      <c r="B8" s="55">
        <v>16.54</v>
      </c>
      <c r="C8" s="55">
        <v>1.83</v>
      </c>
      <c r="D8" s="4">
        <v>9.06</v>
      </c>
    </row>
    <row r="9" spans="1:4" x14ac:dyDescent="0.25">
      <c r="A9" s="2">
        <v>2019</v>
      </c>
      <c r="B9" s="55">
        <v>20.81</v>
      </c>
      <c r="C9" s="55">
        <v>2.52</v>
      </c>
      <c r="D9" s="4">
        <v>8.25</v>
      </c>
    </row>
    <row r="10" spans="1:4" x14ac:dyDescent="0.25">
      <c r="A10" s="2">
        <v>2018</v>
      </c>
      <c r="B10" s="55">
        <v>18.87</v>
      </c>
      <c r="C10" s="55">
        <v>2.1</v>
      </c>
      <c r="D10" s="4">
        <v>8.99</v>
      </c>
    </row>
    <row r="11" spans="1:4" x14ac:dyDescent="0.25">
      <c r="A11" s="2">
        <v>2017</v>
      </c>
      <c r="B11" s="55">
        <v>19.68</v>
      </c>
      <c r="C11" s="55">
        <v>2.1</v>
      </c>
      <c r="D11" s="4">
        <v>9.35</v>
      </c>
    </row>
    <row r="12" spans="1:4" x14ac:dyDescent="0.25">
      <c r="A12" s="2">
        <v>2016</v>
      </c>
      <c r="B12" s="55">
        <v>19.77</v>
      </c>
      <c r="C12" s="55">
        <v>2.0699999999999998</v>
      </c>
      <c r="D12" s="4">
        <v>9.5299999999999994</v>
      </c>
    </row>
    <row r="13" spans="1:4" x14ac:dyDescent="0.25">
      <c r="A13" s="2">
        <v>2015</v>
      </c>
      <c r="B13" s="55">
        <v>17.57</v>
      </c>
      <c r="C13" s="55">
        <v>1.77</v>
      </c>
      <c r="D13" s="4">
        <v>9.9499999999999993</v>
      </c>
    </row>
    <row r="14" spans="1:4" x14ac:dyDescent="0.25">
      <c r="A14" s="9">
        <v>2014</v>
      </c>
      <c r="B14" s="56">
        <v>18.82</v>
      </c>
      <c r="C14" s="56">
        <v>1.86</v>
      </c>
      <c r="D14" s="5">
        <v>10.119999999999999</v>
      </c>
    </row>
    <row r="16" spans="1:4" x14ac:dyDescent="0.25">
      <c r="A16" t="s">
        <v>227</v>
      </c>
    </row>
    <row r="18" spans="1:1" x14ac:dyDescent="0.25">
      <c r="A18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22"/>
  <sheetViews>
    <sheetView workbookViewId="0"/>
  </sheetViews>
  <sheetFormatPr defaultColWidth="11.42578125" defaultRowHeight="15" x14ac:dyDescent="0.25"/>
  <cols>
    <col min="1" max="1" width="6.7109375" customWidth="1"/>
    <col min="2" max="3" width="49.7109375" customWidth="1"/>
    <col min="4" max="4" width="38.7109375" customWidth="1"/>
  </cols>
  <sheetData>
    <row r="1" spans="1:4" x14ac:dyDescent="0.25">
      <c r="A1" t="s">
        <v>247</v>
      </c>
    </row>
    <row r="3" spans="1:4" x14ac:dyDescent="0.25">
      <c r="A3" s="7" t="s">
        <v>21</v>
      </c>
      <c r="B3" s="6" t="s">
        <v>248</v>
      </c>
      <c r="C3" s="6" t="s">
        <v>249</v>
      </c>
      <c r="D3" s="8" t="s">
        <v>250</v>
      </c>
    </row>
    <row r="4" spans="1:4" x14ac:dyDescent="0.25">
      <c r="A4" s="2">
        <v>2024</v>
      </c>
      <c r="B4">
        <v>298.24</v>
      </c>
      <c r="C4">
        <v>301.45</v>
      </c>
      <c r="D4" s="4">
        <v>299.86</v>
      </c>
    </row>
    <row r="5" spans="1:4" x14ac:dyDescent="0.25">
      <c r="A5" s="2">
        <v>2023</v>
      </c>
      <c r="B5">
        <v>229.47</v>
      </c>
      <c r="C5">
        <v>231.57</v>
      </c>
      <c r="D5" s="4">
        <v>230.51</v>
      </c>
    </row>
    <row r="6" spans="1:4" x14ac:dyDescent="0.25">
      <c r="A6" s="2">
        <v>2022</v>
      </c>
      <c r="B6">
        <v>223.21</v>
      </c>
      <c r="C6">
        <v>225.86</v>
      </c>
      <c r="D6" s="4">
        <v>224.66</v>
      </c>
    </row>
    <row r="7" spans="1:4" x14ac:dyDescent="0.25">
      <c r="A7" s="2">
        <v>2021</v>
      </c>
      <c r="B7">
        <v>185.51</v>
      </c>
      <c r="C7">
        <v>186.91</v>
      </c>
      <c r="D7" s="4">
        <v>186.2</v>
      </c>
    </row>
    <row r="8" spans="1:4" x14ac:dyDescent="0.25">
      <c r="A8" s="2">
        <v>2020</v>
      </c>
      <c r="B8">
        <v>175.58</v>
      </c>
      <c r="C8">
        <v>176.78</v>
      </c>
      <c r="D8" s="4">
        <v>176.16</v>
      </c>
    </row>
    <row r="9" spans="1:4" x14ac:dyDescent="0.25">
      <c r="A9" s="2">
        <v>2019</v>
      </c>
      <c r="B9">
        <v>175.3</v>
      </c>
      <c r="C9">
        <v>176.58</v>
      </c>
      <c r="D9" s="4">
        <v>175.89</v>
      </c>
    </row>
    <row r="10" spans="1:4" x14ac:dyDescent="0.25">
      <c r="A10" s="2">
        <v>2018</v>
      </c>
      <c r="B10">
        <v>166.79</v>
      </c>
      <c r="C10">
        <v>168.03</v>
      </c>
      <c r="D10" s="4">
        <v>167.46</v>
      </c>
    </row>
    <row r="11" spans="1:4" x14ac:dyDescent="0.25">
      <c r="A11" s="2">
        <v>2017</v>
      </c>
      <c r="B11">
        <v>154.96</v>
      </c>
      <c r="C11">
        <v>155.99</v>
      </c>
      <c r="D11" s="4">
        <v>155.5</v>
      </c>
    </row>
    <row r="12" spans="1:4" x14ac:dyDescent="0.25">
      <c r="A12" s="2">
        <v>2016</v>
      </c>
      <c r="B12">
        <v>121.41</v>
      </c>
      <c r="C12">
        <v>122.38</v>
      </c>
      <c r="D12" s="4">
        <v>121.88</v>
      </c>
    </row>
    <row r="13" spans="1:4" x14ac:dyDescent="0.25">
      <c r="A13" s="2">
        <v>2015</v>
      </c>
      <c r="B13">
        <v>104.02</v>
      </c>
      <c r="C13">
        <v>104.83</v>
      </c>
      <c r="D13" s="4">
        <v>104.44</v>
      </c>
    </row>
    <row r="14" spans="1:4" x14ac:dyDescent="0.25">
      <c r="A14" s="9">
        <v>2014</v>
      </c>
      <c r="B14" s="10">
        <v>99.32</v>
      </c>
      <c r="C14" s="10">
        <v>100.1</v>
      </c>
      <c r="D14" s="5">
        <v>99.72</v>
      </c>
    </row>
    <row r="16" spans="1:4" x14ac:dyDescent="0.25">
      <c r="A16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2" spans="1:1" x14ac:dyDescent="0.25">
      <c r="A22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22"/>
  <sheetViews>
    <sheetView workbookViewId="0"/>
  </sheetViews>
  <sheetFormatPr defaultColWidth="11.42578125" defaultRowHeight="15" x14ac:dyDescent="0.25"/>
  <cols>
    <col min="1" max="1" width="6.7109375" customWidth="1"/>
    <col min="2" max="2" width="27.7109375" customWidth="1"/>
    <col min="3" max="3" width="32.7109375" customWidth="1"/>
    <col min="4" max="4" width="41.7109375" customWidth="1"/>
  </cols>
  <sheetData>
    <row r="1" spans="1:4" x14ac:dyDescent="0.25">
      <c r="A1" t="s">
        <v>252</v>
      </c>
    </row>
    <row r="3" spans="1:4" x14ac:dyDescent="0.25">
      <c r="A3" s="7" t="s">
        <v>21</v>
      </c>
      <c r="B3" s="6" t="s">
        <v>104</v>
      </c>
      <c r="C3" s="6" t="s">
        <v>105</v>
      </c>
      <c r="D3" s="8" t="s">
        <v>106</v>
      </c>
    </row>
    <row r="4" spans="1:4" x14ac:dyDescent="0.25">
      <c r="A4" s="2">
        <v>2024</v>
      </c>
      <c r="B4" s="57">
        <v>87.08</v>
      </c>
      <c r="C4" s="57">
        <v>38.69</v>
      </c>
      <c r="D4" s="21">
        <v>104.3</v>
      </c>
    </row>
    <row r="5" spans="1:4" x14ac:dyDescent="0.25">
      <c r="A5" s="2">
        <v>2023</v>
      </c>
      <c r="B5" s="57">
        <v>68.89</v>
      </c>
      <c r="C5" s="57">
        <v>32.4</v>
      </c>
      <c r="D5" s="21">
        <v>81.489999999999995</v>
      </c>
    </row>
    <row r="6" spans="1:4" x14ac:dyDescent="0.25">
      <c r="A6" s="2">
        <v>2022</v>
      </c>
      <c r="B6" s="57">
        <v>47.75</v>
      </c>
      <c r="C6" s="57">
        <v>22.64</v>
      </c>
      <c r="D6" s="21">
        <v>49.02</v>
      </c>
    </row>
    <row r="7" spans="1:4" x14ac:dyDescent="0.25">
      <c r="A7" s="2">
        <v>2021</v>
      </c>
      <c r="B7" s="57">
        <v>37.17</v>
      </c>
      <c r="C7" s="57">
        <v>16.739999999999998</v>
      </c>
      <c r="D7" s="21">
        <v>29.13</v>
      </c>
    </row>
    <row r="8" spans="1:4" x14ac:dyDescent="0.25">
      <c r="A8" s="2">
        <v>2020</v>
      </c>
      <c r="B8" s="57">
        <v>33.39</v>
      </c>
      <c r="C8" s="57">
        <v>15.15</v>
      </c>
      <c r="D8" s="21">
        <v>24.53</v>
      </c>
    </row>
    <row r="9" spans="1:4" x14ac:dyDescent="0.25">
      <c r="A9" s="2">
        <v>2019</v>
      </c>
      <c r="B9" s="57">
        <v>48.1</v>
      </c>
      <c r="C9" s="57">
        <v>27.53</v>
      </c>
      <c r="D9" s="21">
        <v>38.770000000000003</v>
      </c>
    </row>
    <row r="10" spans="1:4" x14ac:dyDescent="0.25">
      <c r="A10" s="2">
        <v>2018</v>
      </c>
      <c r="B10" s="57">
        <v>42.82</v>
      </c>
      <c r="C10" s="57">
        <v>25.47</v>
      </c>
      <c r="D10" s="21">
        <v>32.64</v>
      </c>
    </row>
    <row r="11" spans="1:4" x14ac:dyDescent="0.25">
      <c r="A11" s="2">
        <v>2017</v>
      </c>
      <c r="B11" s="57">
        <v>38.75</v>
      </c>
      <c r="C11" s="57">
        <v>24.13</v>
      </c>
      <c r="D11" s="21">
        <v>29.58</v>
      </c>
    </row>
    <row r="12" spans="1:4" x14ac:dyDescent="0.25">
      <c r="A12" s="2">
        <v>2016</v>
      </c>
      <c r="B12" s="57">
        <v>34.29</v>
      </c>
      <c r="C12" s="57">
        <v>21.96</v>
      </c>
      <c r="D12" s="21">
        <v>26.27</v>
      </c>
    </row>
    <row r="13" spans="1:4" x14ac:dyDescent="0.25">
      <c r="A13" s="2">
        <v>2015</v>
      </c>
      <c r="B13" s="57">
        <v>29.18</v>
      </c>
      <c r="C13" s="57">
        <v>19.29</v>
      </c>
      <c r="D13" s="21">
        <v>23.32</v>
      </c>
    </row>
    <row r="14" spans="1:4" x14ac:dyDescent="0.25">
      <c r="A14" s="9">
        <v>2014</v>
      </c>
      <c r="B14" s="58">
        <v>25.41</v>
      </c>
      <c r="C14" s="58">
        <v>17.059999999999999</v>
      </c>
      <c r="D14" s="23">
        <v>20.03</v>
      </c>
    </row>
    <row r="16" spans="1:4" x14ac:dyDescent="0.25">
      <c r="A16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2" spans="1:1" x14ac:dyDescent="0.25">
      <c r="A22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22"/>
  <sheetViews>
    <sheetView workbookViewId="0"/>
  </sheetViews>
  <sheetFormatPr defaultColWidth="11.42578125" defaultRowHeight="15" x14ac:dyDescent="0.25"/>
  <cols>
    <col min="1" max="1" width="6.7109375" customWidth="1"/>
    <col min="2" max="3" width="49.7109375" customWidth="1"/>
    <col min="4" max="4" width="38.7109375" customWidth="1"/>
  </cols>
  <sheetData>
    <row r="1" spans="1:4" x14ac:dyDescent="0.25">
      <c r="A1" t="s">
        <v>254</v>
      </c>
    </row>
    <row r="3" spans="1:4" x14ac:dyDescent="0.25">
      <c r="A3" s="7" t="s">
        <v>21</v>
      </c>
      <c r="B3" s="6" t="s">
        <v>248</v>
      </c>
      <c r="C3" s="6" t="s">
        <v>249</v>
      </c>
      <c r="D3" s="8" t="s">
        <v>250</v>
      </c>
    </row>
    <row r="4" spans="1:4" x14ac:dyDescent="0.25">
      <c r="A4" s="2">
        <v>2024</v>
      </c>
      <c r="B4">
        <v>75.64</v>
      </c>
      <c r="C4">
        <v>75.760000000000005</v>
      </c>
      <c r="D4" s="4">
        <v>75.7</v>
      </c>
    </row>
    <row r="5" spans="1:4" x14ac:dyDescent="0.25">
      <c r="A5" s="2">
        <v>2023</v>
      </c>
      <c r="B5">
        <v>59.72</v>
      </c>
      <c r="C5">
        <v>59.88</v>
      </c>
      <c r="D5" s="4">
        <v>59.8</v>
      </c>
    </row>
    <row r="6" spans="1:4" x14ac:dyDescent="0.25">
      <c r="A6" s="2">
        <v>2022</v>
      </c>
      <c r="B6">
        <v>35.659999999999997</v>
      </c>
      <c r="C6">
        <v>35.75</v>
      </c>
      <c r="D6" s="4">
        <v>35.700000000000003</v>
      </c>
    </row>
    <row r="7" spans="1:4" x14ac:dyDescent="0.25">
      <c r="A7" s="2">
        <v>2021</v>
      </c>
      <c r="B7">
        <v>21.51</v>
      </c>
      <c r="C7">
        <v>21.61</v>
      </c>
      <c r="D7" s="4">
        <v>21.56</v>
      </c>
    </row>
    <row r="8" spans="1:4" x14ac:dyDescent="0.25">
      <c r="A8" s="2">
        <v>2020</v>
      </c>
      <c r="B8">
        <v>17.87</v>
      </c>
      <c r="C8">
        <v>17.940000000000001</v>
      </c>
      <c r="D8" s="4">
        <v>17.899999999999999</v>
      </c>
    </row>
    <row r="9" spans="1:4" x14ac:dyDescent="0.25">
      <c r="A9" s="2">
        <v>2019</v>
      </c>
      <c r="B9">
        <v>27.86</v>
      </c>
      <c r="C9">
        <v>27.93</v>
      </c>
      <c r="D9" s="4">
        <v>27.9</v>
      </c>
    </row>
    <row r="10" spans="1:4" x14ac:dyDescent="0.25">
      <c r="A10" s="2">
        <v>2018</v>
      </c>
      <c r="B10">
        <v>23.54</v>
      </c>
      <c r="C10">
        <v>23.6</v>
      </c>
      <c r="D10" s="4">
        <v>23.57</v>
      </c>
    </row>
    <row r="11" spans="1:4" x14ac:dyDescent="0.25">
      <c r="A11" s="2">
        <v>2017</v>
      </c>
      <c r="B11">
        <v>21.39</v>
      </c>
      <c r="C11">
        <v>21.45</v>
      </c>
      <c r="D11" s="4">
        <v>21.42</v>
      </c>
    </row>
    <row r="12" spans="1:4" x14ac:dyDescent="0.25">
      <c r="A12" s="2">
        <v>2016</v>
      </c>
      <c r="B12">
        <v>18.91</v>
      </c>
      <c r="C12">
        <v>18.97</v>
      </c>
      <c r="D12" s="4">
        <v>18.940000000000001</v>
      </c>
    </row>
    <row r="13" spans="1:4" x14ac:dyDescent="0.25">
      <c r="A13" s="2">
        <v>2015</v>
      </c>
      <c r="B13">
        <v>16.829999999999998</v>
      </c>
      <c r="C13">
        <v>16.88</v>
      </c>
      <c r="D13" s="4">
        <v>16.86</v>
      </c>
    </row>
    <row r="14" spans="1:4" x14ac:dyDescent="0.25">
      <c r="A14" s="9">
        <v>2014</v>
      </c>
      <c r="B14" s="10">
        <v>14.43</v>
      </c>
      <c r="C14" s="10">
        <v>14.49</v>
      </c>
      <c r="D14" s="5">
        <v>14.46</v>
      </c>
    </row>
    <row r="16" spans="1:4" x14ac:dyDescent="0.25">
      <c r="A16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2" spans="1:1" x14ac:dyDescent="0.25">
      <c r="A22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18"/>
  <sheetViews>
    <sheetView workbookViewId="0"/>
  </sheetViews>
  <sheetFormatPr defaultColWidth="11.42578125" defaultRowHeight="15" x14ac:dyDescent="0.25"/>
  <cols>
    <col min="1" max="1" width="6.7109375" customWidth="1"/>
    <col min="2" max="2" width="26.7109375" customWidth="1"/>
    <col min="3" max="3" width="32.7109375" customWidth="1"/>
  </cols>
  <sheetData>
    <row r="1" spans="1:3" x14ac:dyDescent="0.25">
      <c r="A1" t="s">
        <v>256</v>
      </c>
    </row>
    <row r="3" spans="1:3" x14ac:dyDescent="0.25">
      <c r="A3" s="7" t="s">
        <v>21</v>
      </c>
      <c r="B3" s="6" t="s">
        <v>243</v>
      </c>
      <c r="C3" s="8" t="s">
        <v>105</v>
      </c>
    </row>
    <row r="4" spans="1:3" x14ac:dyDescent="0.25">
      <c r="A4" s="2">
        <v>2024</v>
      </c>
      <c r="B4" s="59">
        <v>6.5</v>
      </c>
      <c r="C4" s="60">
        <v>134.69</v>
      </c>
    </row>
    <row r="5" spans="1:3" x14ac:dyDescent="0.25">
      <c r="A5" s="2">
        <v>2023</v>
      </c>
      <c r="B5" s="59">
        <v>6.21</v>
      </c>
      <c r="C5" s="60">
        <v>116.64</v>
      </c>
    </row>
    <row r="6" spans="1:3" x14ac:dyDescent="0.25">
      <c r="A6" s="2">
        <v>2022</v>
      </c>
      <c r="B6" s="59">
        <v>5.57</v>
      </c>
      <c r="C6" s="60">
        <v>85.55</v>
      </c>
    </row>
    <row r="7" spans="1:3" x14ac:dyDescent="0.25">
      <c r="A7" s="2">
        <v>2021</v>
      </c>
      <c r="B7" s="59">
        <v>5.4</v>
      </c>
      <c r="C7" s="60">
        <v>72.87</v>
      </c>
    </row>
    <row r="8" spans="1:3" x14ac:dyDescent="0.25">
      <c r="A8" s="2">
        <v>2020</v>
      </c>
      <c r="B8" s="59">
        <v>5.32</v>
      </c>
      <c r="C8" s="60">
        <v>74.78</v>
      </c>
    </row>
    <row r="9" spans="1:3" x14ac:dyDescent="0.25">
      <c r="A9" s="2">
        <v>2019</v>
      </c>
      <c r="B9" s="59">
        <v>5.84</v>
      </c>
      <c r="C9" s="60">
        <v>119.88</v>
      </c>
    </row>
    <row r="10" spans="1:3" x14ac:dyDescent="0.25">
      <c r="A10" s="2">
        <v>2018</v>
      </c>
      <c r="B10" s="59">
        <v>5.8</v>
      </c>
      <c r="C10" s="60">
        <v>119.95</v>
      </c>
    </row>
    <row r="11" spans="1:3" x14ac:dyDescent="0.25">
      <c r="A11" s="2">
        <v>2017</v>
      </c>
      <c r="B11" s="59">
        <v>5.98</v>
      </c>
      <c r="C11" s="60">
        <v>126.9</v>
      </c>
    </row>
    <row r="12" spans="1:3" x14ac:dyDescent="0.25">
      <c r="A12" s="2">
        <v>2016</v>
      </c>
      <c r="B12" s="59">
        <v>6.2</v>
      </c>
      <c r="C12" s="60">
        <v>129.35</v>
      </c>
    </row>
    <row r="13" spans="1:3" x14ac:dyDescent="0.25">
      <c r="A13" s="2">
        <v>2015</v>
      </c>
      <c r="B13" s="59">
        <v>6.5</v>
      </c>
      <c r="C13" s="60">
        <v>131.77000000000001</v>
      </c>
    </row>
    <row r="14" spans="1:3" x14ac:dyDescent="0.25">
      <c r="A14" s="9">
        <v>2014</v>
      </c>
      <c r="B14" s="61">
        <v>6.94</v>
      </c>
      <c r="C14" s="62">
        <v>140.79</v>
      </c>
    </row>
    <row r="16" spans="1:3" x14ac:dyDescent="0.25">
      <c r="A16" t="s">
        <v>108</v>
      </c>
    </row>
    <row r="18" spans="1:1" x14ac:dyDescent="0.25">
      <c r="A18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workbookViewId="0"/>
  </sheetViews>
  <sheetFormatPr defaultColWidth="11.42578125" defaultRowHeight="15" x14ac:dyDescent="0.25"/>
  <cols>
    <col min="1" max="1" width="25.7109375" customWidth="1"/>
    <col min="2" max="5" width="7.7109375" customWidth="1"/>
  </cols>
  <sheetData>
    <row r="1" spans="1:5" x14ac:dyDescent="0.25">
      <c r="A1" t="s">
        <v>15</v>
      </c>
    </row>
    <row r="3" spans="1:5" x14ac:dyDescent="0.25">
      <c r="A3" s="7"/>
      <c r="B3" s="6" t="s">
        <v>4</v>
      </c>
      <c r="C3" s="6" t="s">
        <v>5</v>
      </c>
      <c r="D3" s="6" t="s">
        <v>6</v>
      </c>
      <c r="E3" s="8" t="s">
        <v>7</v>
      </c>
    </row>
    <row r="4" spans="1:5" x14ac:dyDescent="0.25">
      <c r="A4" s="2" t="s">
        <v>16</v>
      </c>
      <c r="B4">
        <v>1.96</v>
      </c>
      <c r="C4">
        <v>2.4700000000000002</v>
      </c>
      <c r="D4">
        <v>3.23</v>
      </c>
      <c r="E4" s="4">
        <v>4.32</v>
      </c>
    </row>
    <row r="5" spans="1:5" x14ac:dyDescent="0.25">
      <c r="A5" s="9" t="s">
        <v>17</v>
      </c>
      <c r="B5" s="99">
        <v>2.4E-2</v>
      </c>
      <c r="C5" s="99">
        <v>2.5000000000000001E-2</v>
      </c>
      <c r="D5" s="99">
        <v>2.7E-2</v>
      </c>
      <c r="E5" s="100">
        <v>2.9000000000000001E-2</v>
      </c>
    </row>
    <row r="7" spans="1:5" x14ac:dyDescent="0.25">
      <c r="A7" t="s">
        <v>13</v>
      </c>
    </row>
    <row r="9" spans="1:5" x14ac:dyDescent="0.25">
      <c r="A9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17"/>
  <sheetViews>
    <sheetView workbookViewId="0"/>
  </sheetViews>
  <sheetFormatPr defaultColWidth="11.42578125" defaultRowHeight="15" x14ac:dyDescent="0.25"/>
  <cols>
    <col min="1" max="1" width="38.7109375" customWidth="1"/>
    <col min="2" max="3" width="26.7109375" customWidth="1"/>
    <col min="4" max="4" width="38.7109375" customWidth="1"/>
  </cols>
  <sheetData>
    <row r="1" spans="1:4" x14ac:dyDescent="0.25">
      <c r="A1" t="s">
        <v>258</v>
      </c>
    </row>
    <row r="3" spans="1:4" x14ac:dyDescent="0.25">
      <c r="A3" s="7" t="s">
        <v>259</v>
      </c>
      <c r="B3" s="6" t="s">
        <v>243</v>
      </c>
      <c r="C3" s="6" t="s">
        <v>260</v>
      </c>
      <c r="D3" s="8" t="s">
        <v>261</v>
      </c>
    </row>
    <row r="4" spans="1:4" x14ac:dyDescent="0.25">
      <c r="A4" s="2" t="s">
        <v>262</v>
      </c>
      <c r="B4" s="63">
        <v>5.92</v>
      </c>
      <c r="C4" s="63">
        <v>18.71</v>
      </c>
      <c r="D4" s="21">
        <v>0</v>
      </c>
    </row>
    <row r="5" spans="1:4" x14ac:dyDescent="0.25">
      <c r="A5" s="2" t="s">
        <v>263</v>
      </c>
      <c r="B5" s="63">
        <v>1.23</v>
      </c>
      <c r="C5" s="63">
        <v>2.33</v>
      </c>
      <c r="D5" s="21">
        <v>465.35</v>
      </c>
    </row>
    <row r="6" spans="1:4" x14ac:dyDescent="0.25">
      <c r="A6" s="2" t="s">
        <v>264</v>
      </c>
      <c r="B6" s="63">
        <v>0.17</v>
      </c>
      <c r="C6" s="63">
        <v>0.19</v>
      </c>
      <c r="D6" s="21">
        <v>276.51</v>
      </c>
    </row>
    <row r="7" spans="1:4" x14ac:dyDescent="0.25">
      <c r="A7" s="2" t="s">
        <v>265</v>
      </c>
      <c r="B7" s="63">
        <v>0.15</v>
      </c>
      <c r="C7" s="63">
        <v>0.18</v>
      </c>
      <c r="D7" s="21">
        <v>0</v>
      </c>
    </row>
    <row r="8" spans="1:4" x14ac:dyDescent="0.25">
      <c r="A8" s="2" t="s">
        <v>266</v>
      </c>
      <c r="B8" s="63">
        <v>0.05</v>
      </c>
      <c r="C8" s="63">
        <v>0.24</v>
      </c>
      <c r="D8" s="21">
        <v>112.9</v>
      </c>
    </row>
    <row r="9" spans="1:4" x14ac:dyDescent="0.25">
      <c r="A9" s="9" t="s">
        <v>267</v>
      </c>
      <c r="B9" s="64">
        <v>6.5</v>
      </c>
      <c r="C9" s="64">
        <v>21.61</v>
      </c>
      <c r="D9" s="23">
        <v>854.76</v>
      </c>
    </row>
    <row r="11" spans="1:4" x14ac:dyDescent="0.25">
      <c r="A11" t="s">
        <v>108</v>
      </c>
    </row>
    <row r="13" spans="1:4" x14ac:dyDescent="0.25">
      <c r="A13" t="s">
        <v>269</v>
      </c>
    </row>
    <row r="14" spans="1:4" x14ac:dyDescent="0.25">
      <c r="A14" t="s">
        <v>270</v>
      </c>
    </row>
    <row r="15" spans="1:4" x14ac:dyDescent="0.25">
      <c r="A15" t="s">
        <v>110</v>
      </c>
    </row>
    <row r="17" spans="1:1" x14ac:dyDescent="0.25">
      <c r="A17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18"/>
  <sheetViews>
    <sheetView workbookViewId="0"/>
  </sheetViews>
  <sheetFormatPr defaultColWidth="11.42578125" defaultRowHeight="15" x14ac:dyDescent="0.25"/>
  <cols>
    <col min="1" max="1" width="6.7109375" customWidth="1"/>
    <col min="2" max="2" width="27.7109375" customWidth="1"/>
    <col min="3" max="3" width="66.7109375" customWidth="1"/>
  </cols>
  <sheetData>
    <row r="1" spans="1:3" x14ac:dyDescent="0.25">
      <c r="A1" t="s">
        <v>271</v>
      </c>
    </row>
    <row r="3" spans="1:3" x14ac:dyDescent="0.25">
      <c r="A3" s="7" t="s">
        <v>21</v>
      </c>
      <c r="B3" s="6" t="s">
        <v>104</v>
      </c>
      <c r="C3" s="8" t="s">
        <v>272</v>
      </c>
    </row>
    <row r="4" spans="1:3" x14ac:dyDescent="0.25">
      <c r="A4" s="2">
        <v>2024</v>
      </c>
      <c r="B4" s="65">
        <v>29.23</v>
      </c>
      <c r="C4" s="4" t="s">
        <v>273</v>
      </c>
    </row>
    <row r="5" spans="1:3" x14ac:dyDescent="0.25">
      <c r="A5" s="2">
        <v>2023</v>
      </c>
      <c r="B5" s="65">
        <v>27.99</v>
      </c>
      <c r="C5" s="4" t="s">
        <v>274</v>
      </c>
    </row>
    <row r="6" spans="1:3" x14ac:dyDescent="0.25">
      <c r="A6" s="2">
        <v>2022</v>
      </c>
      <c r="B6" s="65">
        <v>27.18</v>
      </c>
      <c r="C6" s="4" t="s">
        <v>274</v>
      </c>
    </row>
    <row r="7" spans="1:3" x14ac:dyDescent="0.25">
      <c r="A7" s="2">
        <v>2021</v>
      </c>
      <c r="B7" s="65">
        <v>25.82</v>
      </c>
      <c r="C7" s="4" t="s">
        <v>275</v>
      </c>
    </row>
    <row r="8" spans="1:3" x14ac:dyDescent="0.25">
      <c r="A8" s="2">
        <v>2020</v>
      </c>
      <c r="B8" s="65">
        <v>24.3</v>
      </c>
      <c r="C8" s="4" t="s">
        <v>276</v>
      </c>
    </row>
    <row r="9" spans="1:3" x14ac:dyDescent="0.25">
      <c r="A9" s="2">
        <v>2019</v>
      </c>
      <c r="B9" s="65">
        <v>27.79</v>
      </c>
      <c r="C9" s="4" t="s">
        <v>277</v>
      </c>
    </row>
    <row r="10" spans="1:3" x14ac:dyDescent="0.25">
      <c r="A10" s="2">
        <v>2018</v>
      </c>
      <c r="B10" s="65">
        <v>27.69</v>
      </c>
      <c r="C10" s="4" t="s">
        <v>278</v>
      </c>
    </row>
    <row r="11" spans="1:3" x14ac:dyDescent="0.25">
      <c r="A11" s="2">
        <v>2017</v>
      </c>
      <c r="B11" s="65">
        <v>27.33</v>
      </c>
      <c r="C11" s="4" t="s">
        <v>278</v>
      </c>
    </row>
    <row r="12" spans="1:3" x14ac:dyDescent="0.25">
      <c r="A12" s="2">
        <v>2016</v>
      </c>
      <c r="B12" s="65">
        <v>35.380000000000003</v>
      </c>
      <c r="C12" s="4" t="s">
        <v>279</v>
      </c>
    </row>
    <row r="13" spans="1:3" x14ac:dyDescent="0.25">
      <c r="A13" s="2">
        <v>2015</v>
      </c>
      <c r="B13" s="65">
        <v>37.29</v>
      </c>
      <c r="C13" s="4" t="s">
        <v>280</v>
      </c>
    </row>
    <row r="14" spans="1:3" x14ac:dyDescent="0.25">
      <c r="A14" s="9">
        <v>2014</v>
      </c>
      <c r="B14" s="66">
        <v>36.159999999999997</v>
      </c>
      <c r="C14" s="5" t="s">
        <v>281</v>
      </c>
    </row>
    <row r="16" spans="1:3" x14ac:dyDescent="0.25">
      <c r="A16" t="s">
        <v>108</v>
      </c>
    </row>
    <row r="18" spans="1:1" x14ac:dyDescent="0.25">
      <c r="A18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18"/>
  <sheetViews>
    <sheetView workbookViewId="0"/>
  </sheetViews>
  <sheetFormatPr defaultColWidth="11.42578125" defaultRowHeight="15" x14ac:dyDescent="0.25"/>
  <cols>
    <col min="1" max="1" width="6.7109375" customWidth="1"/>
    <col min="2" max="2" width="26.7109375" customWidth="1"/>
    <col min="3" max="3" width="66.7109375" customWidth="1"/>
  </cols>
  <sheetData>
    <row r="1" spans="1:3" x14ac:dyDescent="0.25">
      <c r="A1" t="s">
        <v>283</v>
      </c>
    </row>
    <row r="3" spans="1:3" x14ac:dyDescent="0.25">
      <c r="A3" s="7" t="s">
        <v>21</v>
      </c>
      <c r="B3" s="6" t="s">
        <v>243</v>
      </c>
      <c r="C3" s="8" t="s">
        <v>272</v>
      </c>
    </row>
    <row r="4" spans="1:3" x14ac:dyDescent="0.25">
      <c r="A4" s="2">
        <v>2024</v>
      </c>
      <c r="B4" s="67">
        <v>9.08</v>
      </c>
      <c r="C4" s="4" t="s">
        <v>284</v>
      </c>
    </row>
    <row r="5" spans="1:3" x14ac:dyDescent="0.25">
      <c r="A5" s="2">
        <v>2023</v>
      </c>
      <c r="B5" s="67">
        <v>8.9600000000000009</v>
      </c>
      <c r="C5" s="4" t="s">
        <v>285</v>
      </c>
    </row>
    <row r="6" spans="1:3" x14ac:dyDescent="0.25">
      <c r="A6" s="2">
        <v>2022</v>
      </c>
      <c r="B6" s="67">
        <v>8.82</v>
      </c>
      <c r="C6" s="4" t="s">
        <v>285</v>
      </c>
    </row>
    <row r="7" spans="1:3" x14ac:dyDescent="0.25">
      <c r="A7" s="2">
        <v>2021</v>
      </c>
      <c r="B7" s="67">
        <v>8.8000000000000007</v>
      </c>
      <c r="C7" s="4" t="s">
        <v>285</v>
      </c>
    </row>
    <row r="8" spans="1:3" x14ac:dyDescent="0.25">
      <c r="A8" s="2">
        <v>2020</v>
      </c>
      <c r="B8" s="67">
        <v>8.73</v>
      </c>
      <c r="C8" s="4" t="s">
        <v>284</v>
      </c>
    </row>
    <row r="9" spans="1:3" x14ac:dyDescent="0.25">
      <c r="A9" s="2">
        <v>2019</v>
      </c>
      <c r="B9" s="67">
        <v>8.92</v>
      </c>
      <c r="C9" s="4" t="s">
        <v>285</v>
      </c>
    </row>
    <row r="10" spans="1:3" x14ac:dyDescent="0.25">
      <c r="A10" s="2">
        <v>2018</v>
      </c>
      <c r="B10" s="67">
        <v>8.76</v>
      </c>
      <c r="C10" s="4" t="s">
        <v>285</v>
      </c>
    </row>
    <row r="11" spans="1:3" x14ac:dyDescent="0.25">
      <c r="A11" s="2">
        <v>2017</v>
      </c>
      <c r="B11" s="67">
        <v>8.64</v>
      </c>
      <c r="C11" s="4" t="s">
        <v>285</v>
      </c>
    </row>
    <row r="12" spans="1:3" x14ac:dyDescent="0.25">
      <c r="A12" s="2">
        <v>2016</v>
      </c>
      <c r="B12" s="67">
        <v>8.5399999999999991</v>
      </c>
      <c r="C12" s="4" t="s">
        <v>285</v>
      </c>
    </row>
    <row r="13" spans="1:3" x14ac:dyDescent="0.25">
      <c r="A13" s="2">
        <v>2015</v>
      </c>
      <c r="B13" s="67">
        <v>8.5500000000000007</v>
      </c>
      <c r="C13" s="4" t="s">
        <v>286</v>
      </c>
    </row>
    <row r="14" spans="1:3" x14ac:dyDescent="0.25">
      <c r="A14" s="9">
        <v>2014</v>
      </c>
      <c r="B14" s="68">
        <v>8.43</v>
      </c>
      <c r="C14" s="5" t="s">
        <v>286</v>
      </c>
    </row>
    <row r="16" spans="1:3" x14ac:dyDescent="0.25">
      <c r="A16" t="s">
        <v>108</v>
      </c>
    </row>
    <row r="18" spans="1:1" x14ac:dyDescent="0.25">
      <c r="A18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18"/>
  <sheetViews>
    <sheetView workbookViewId="0"/>
  </sheetViews>
  <sheetFormatPr defaultColWidth="11.42578125" defaultRowHeight="15" x14ac:dyDescent="0.25"/>
  <cols>
    <col min="1" max="1" width="6.7109375" customWidth="1"/>
    <col min="2" max="3" width="40.7109375" customWidth="1"/>
    <col min="4" max="4" width="42.7109375" customWidth="1"/>
  </cols>
  <sheetData>
    <row r="1" spans="1:4" x14ac:dyDescent="0.25">
      <c r="A1" t="s">
        <v>288</v>
      </c>
    </row>
    <row r="3" spans="1:4" x14ac:dyDescent="0.25">
      <c r="A3" s="7" t="s">
        <v>21</v>
      </c>
      <c r="B3" s="6" t="s">
        <v>289</v>
      </c>
      <c r="C3" s="6" t="s">
        <v>237</v>
      </c>
      <c r="D3" s="8" t="s">
        <v>238</v>
      </c>
    </row>
    <row r="4" spans="1:4" x14ac:dyDescent="0.25">
      <c r="A4" s="2">
        <v>2024</v>
      </c>
      <c r="B4" s="69">
        <v>2.12</v>
      </c>
      <c r="C4" s="69">
        <v>251.38</v>
      </c>
      <c r="D4" s="4">
        <v>8.4</v>
      </c>
    </row>
    <row r="5" spans="1:4" x14ac:dyDescent="0.25">
      <c r="A5" s="2">
        <v>2023</v>
      </c>
      <c r="B5" s="69">
        <v>2.23</v>
      </c>
      <c r="C5" s="69">
        <v>255.49</v>
      </c>
      <c r="D5" s="4">
        <v>8.6999999999999993</v>
      </c>
    </row>
    <row r="6" spans="1:4" x14ac:dyDescent="0.25">
      <c r="A6" s="2">
        <v>2022</v>
      </c>
      <c r="B6" s="69">
        <v>2.19</v>
      </c>
      <c r="C6" s="69">
        <v>244.39</v>
      </c>
      <c r="D6" s="4">
        <v>9</v>
      </c>
    </row>
    <row r="7" spans="1:4" x14ac:dyDescent="0.25">
      <c r="A7" s="2">
        <v>2021</v>
      </c>
      <c r="B7" s="69">
        <v>2.33</v>
      </c>
      <c r="C7" s="69">
        <v>243.91</v>
      </c>
      <c r="D7" s="4">
        <v>9.6</v>
      </c>
    </row>
    <row r="8" spans="1:4" x14ac:dyDescent="0.25">
      <c r="A8" s="2">
        <v>2020</v>
      </c>
      <c r="B8" s="69">
        <v>2.88</v>
      </c>
      <c r="C8" s="69">
        <v>276.24</v>
      </c>
      <c r="D8" s="4">
        <v>10.4</v>
      </c>
    </row>
    <row r="9" spans="1:4" x14ac:dyDescent="0.25">
      <c r="A9" s="2">
        <v>2019</v>
      </c>
      <c r="B9" s="69">
        <v>2.75</v>
      </c>
      <c r="C9" s="69">
        <v>296.2</v>
      </c>
      <c r="D9" s="4">
        <v>9.3000000000000007</v>
      </c>
    </row>
    <row r="10" spans="1:4" x14ac:dyDescent="0.25">
      <c r="A10" s="2">
        <v>2018</v>
      </c>
      <c r="B10" s="69">
        <v>2.61</v>
      </c>
      <c r="C10" s="69">
        <v>267.45999999999998</v>
      </c>
      <c r="D10" s="4">
        <v>9.6999999999999993</v>
      </c>
    </row>
    <row r="11" spans="1:4" x14ac:dyDescent="0.25">
      <c r="A11" s="2">
        <v>2017</v>
      </c>
      <c r="B11" s="69">
        <v>2.77</v>
      </c>
      <c r="C11" s="69">
        <v>273.35000000000002</v>
      </c>
      <c r="D11" s="4">
        <v>10.1</v>
      </c>
    </row>
    <row r="12" spans="1:4" x14ac:dyDescent="0.25">
      <c r="A12" s="2">
        <v>2016</v>
      </c>
      <c r="B12" s="69">
        <v>2.91</v>
      </c>
      <c r="C12" s="69">
        <v>282.62</v>
      </c>
      <c r="D12" s="4">
        <v>10.3</v>
      </c>
    </row>
    <row r="13" spans="1:4" x14ac:dyDescent="0.25">
      <c r="A13" s="2">
        <v>2015</v>
      </c>
      <c r="B13" s="69">
        <v>3.14</v>
      </c>
      <c r="C13" s="69">
        <v>300.51</v>
      </c>
      <c r="D13" s="4">
        <v>10.5</v>
      </c>
    </row>
    <row r="14" spans="1:4" x14ac:dyDescent="0.25">
      <c r="A14" s="9">
        <v>2014</v>
      </c>
      <c r="B14" s="70">
        <v>3.49</v>
      </c>
      <c r="C14" s="70">
        <v>334.4</v>
      </c>
      <c r="D14" s="5">
        <v>10.4</v>
      </c>
    </row>
    <row r="16" spans="1:4" x14ac:dyDescent="0.25">
      <c r="A16" t="s">
        <v>227</v>
      </c>
    </row>
    <row r="18" spans="1:1" x14ac:dyDescent="0.25">
      <c r="A18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D22"/>
  <sheetViews>
    <sheetView workbookViewId="0"/>
  </sheetViews>
  <sheetFormatPr defaultColWidth="11.42578125" defaultRowHeight="15" x14ac:dyDescent="0.25"/>
  <cols>
    <col min="1" max="1" width="6.7109375" customWidth="1"/>
    <col min="2" max="3" width="49.7109375" customWidth="1"/>
    <col min="4" max="4" width="38.7109375" customWidth="1"/>
  </cols>
  <sheetData>
    <row r="1" spans="1:4" x14ac:dyDescent="0.25">
      <c r="A1" t="s">
        <v>291</v>
      </c>
    </row>
    <row r="3" spans="1:4" x14ac:dyDescent="0.25">
      <c r="A3" s="7" t="s">
        <v>21</v>
      </c>
      <c r="B3" s="6" t="s">
        <v>229</v>
      </c>
      <c r="C3" s="6" t="s">
        <v>230</v>
      </c>
      <c r="D3" s="8" t="s">
        <v>231</v>
      </c>
    </row>
    <row r="4" spans="1:4" x14ac:dyDescent="0.25">
      <c r="A4" s="2">
        <v>2024</v>
      </c>
      <c r="B4">
        <v>2.16</v>
      </c>
      <c r="C4">
        <v>2.17</v>
      </c>
      <c r="D4" s="4">
        <v>2.17</v>
      </c>
    </row>
    <row r="5" spans="1:4" x14ac:dyDescent="0.25">
      <c r="A5" s="2">
        <v>2023</v>
      </c>
      <c r="B5">
        <v>1.61</v>
      </c>
      <c r="C5">
        <v>1.61</v>
      </c>
      <c r="D5" s="4">
        <v>1.61</v>
      </c>
    </row>
    <row r="6" spans="1:4" x14ac:dyDescent="0.25">
      <c r="A6" s="2">
        <v>2022</v>
      </c>
      <c r="B6">
        <v>1.17</v>
      </c>
      <c r="C6">
        <v>1.17</v>
      </c>
      <c r="D6" s="4">
        <v>1.17</v>
      </c>
    </row>
    <row r="7" spans="1:4" x14ac:dyDescent="0.25">
      <c r="A7" s="2">
        <v>2021</v>
      </c>
      <c r="B7">
        <v>1.07</v>
      </c>
      <c r="C7">
        <v>1.08</v>
      </c>
      <c r="D7" s="4">
        <v>1.08</v>
      </c>
    </row>
    <row r="8" spans="1:4" x14ac:dyDescent="0.25">
      <c r="A8" s="2">
        <v>2020</v>
      </c>
      <c r="B8">
        <v>1.08</v>
      </c>
      <c r="C8">
        <v>1.08</v>
      </c>
      <c r="D8" s="4">
        <v>1.08</v>
      </c>
    </row>
    <row r="9" spans="1:4" x14ac:dyDescent="0.25">
      <c r="A9" s="2">
        <v>2019</v>
      </c>
      <c r="B9">
        <v>1.08</v>
      </c>
      <c r="C9">
        <v>1.0900000000000001</v>
      </c>
      <c r="D9" s="4">
        <v>1.0900000000000001</v>
      </c>
    </row>
    <row r="10" spans="1:4" x14ac:dyDescent="0.25">
      <c r="A10" s="2">
        <v>2018</v>
      </c>
      <c r="B10">
        <v>1.04</v>
      </c>
      <c r="C10">
        <v>1.04</v>
      </c>
      <c r="D10" s="4">
        <v>1.04</v>
      </c>
    </row>
    <row r="11" spans="1:4" x14ac:dyDescent="0.25">
      <c r="A11" s="2">
        <v>2017</v>
      </c>
      <c r="B11">
        <v>0.98</v>
      </c>
      <c r="C11">
        <v>0.99</v>
      </c>
      <c r="D11" s="4">
        <v>0.98</v>
      </c>
    </row>
    <row r="12" spans="1:4" x14ac:dyDescent="0.25">
      <c r="A12" s="2">
        <v>2016</v>
      </c>
      <c r="B12">
        <v>0.83</v>
      </c>
      <c r="C12">
        <v>0.83</v>
      </c>
      <c r="D12" s="4">
        <v>0.83</v>
      </c>
    </row>
    <row r="13" spans="1:4" x14ac:dyDescent="0.25">
      <c r="A13" s="2">
        <v>2015</v>
      </c>
      <c r="B13">
        <v>0.8</v>
      </c>
      <c r="C13">
        <v>0.8</v>
      </c>
      <c r="D13" s="4">
        <v>0.8</v>
      </c>
    </row>
    <row r="14" spans="1:4" x14ac:dyDescent="0.25">
      <c r="A14" s="9">
        <v>2014</v>
      </c>
      <c r="B14" s="10">
        <v>0.81</v>
      </c>
      <c r="C14" s="10">
        <v>0.81</v>
      </c>
      <c r="D14" s="5">
        <v>0.81</v>
      </c>
    </row>
    <row r="16" spans="1:4" x14ac:dyDescent="0.25">
      <c r="A16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2" spans="1:1" x14ac:dyDescent="0.25">
      <c r="A22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22"/>
  <sheetViews>
    <sheetView workbookViewId="0"/>
  </sheetViews>
  <sheetFormatPr defaultColWidth="11.42578125" defaultRowHeight="15" x14ac:dyDescent="0.25"/>
  <cols>
    <col min="1" max="1" width="6.7109375" customWidth="1"/>
    <col min="2" max="2" width="27.7109375" customWidth="1"/>
    <col min="3" max="3" width="32.7109375" customWidth="1"/>
    <col min="4" max="4" width="41.7109375" customWidth="1"/>
  </cols>
  <sheetData>
    <row r="1" spans="1:4" x14ac:dyDescent="0.25">
      <c r="A1" t="s">
        <v>293</v>
      </c>
    </row>
    <row r="3" spans="1:4" x14ac:dyDescent="0.25">
      <c r="A3" s="7" t="s">
        <v>21</v>
      </c>
      <c r="B3" s="6" t="s">
        <v>104</v>
      </c>
      <c r="C3" s="6" t="s">
        <v>105</v>
      </c>
      <c r="D3" s="8" t="s">
        <v>106</v>
      </c>
    </row>
    <row r="4" spans="1:4" x14ac:dyDescent="0.25">
      <c r="A4" s="2">
        <v>2024</v>
      </c>
      <c r="B4" s="71">
        <v>910.7</v>
      </c>
      <c r="C4" s="71">
        <v>84.6</v>
      </c>
      <c r="D4" s="21">
        <v>1805.3</v>
      </c>
    </row>
    <row r="5" spans="1:4" x14ac:dyDescent="0.25">
      <c r="A5" s="2">
        <v>2023</v>
      </c>
      <c r="B5" s="71">
        <v>865.9</v>
      </c>
      <c r="C5" s="71">
        <v>80.5</v>
      </c>
      <c r="D5" s="21">
        <v>1639.5</v>
      </c>
    </row>
    <row r="6" spans="1:4" x14ac:dyDescent="0.25">
      <c r="A6" s="2">
        <v>2022</v>
      </c>
      <c r="B6" s="71">
        <v>807.4</v>
      </c>
      <c r="C6" s="71">
        <v>69</v>
      </c>
      <c r="D6" s="21">
        <v>1190.5</v>
      </c>
    </row>
    <row r="7" spans="1:4" x14ac:dyDescent="0.25">
      <c r="A7" s="2">
        <v>2021</v>
      </c>
      <c r="B7" s="71">
        <v>744.1</v>
      </c>
      <c r="C7" s="71">
        <v>57.6</v>
      </c>
      <c r="D7" s="21">
        <v>747</v>
      </c>
    </row>
    <row r="8" spans="1:4" x14ac:dyDescent="0.25">
      <c r="A8" s="2">
        <v>2020</v>
      </c>
      <c r="B8" s="71">
        <v>696.5</v>
      </c>
      <c r="C8" s="71">
        <v>50.3</v>
      </c>
      <c r="D8" s="21">
        <v>598.1</v>
      </c>
    </row>
    <row r="9" spans="1:4" x14ac:dyDescent="0.25">
      <c r="A9" s="2">
        <v>2019</v>
      </c>
      <c r="B9" s="71">
        <v>883.5</v>
      </c>
      <c r="C9" s="71">
        <v>73.599999999999994</v>
      </c>
      <c r="D9" s="21">
        <v>758.9</v>
      </c>
    </row>
    <row r="10" spans="1:4" x14ac:dyDescent="0.25">
      <c r="A10" s="2">
        <v>2018</v>
      </c>
      <c r="B10" s="71">
        <v>871.7</v>
      </c>
      <c r="C10" s="71">
        <v>68.900000000000006</v>
      </c>
      <c r="D10" s="21">
        <v>661.1</v>
      </c>
    </row>
    <row r="11" spans="1:4" x14ac:dyDescent="0.25">
      <c r="A11" s="2">
        <v>2017</v>
      </c>
      <c r="B11" s="71">
        <v>875.4</v>
      </c>
      <c r="C11" s="71">
        <v>61.5</v>
      </c>
      <c r="D11" s="21">
        <v>574.5</v>
      </c>
    </row>
    <row r="12" spans="1:4" x14ac:dyDescent="0.25">
      <c r="A12" s="2">
        <v>2016</v>
      </c>
      <c r="B12" s="71">
        <v>878.5</v>
      </c>
      <c r="C12" s="71">
        <v>53.8</v>
      </c>
      <c r="D12" s="21">
        <v>490.8</v>
      </c>
    </row>
    <row r="13" spans="1:4" x14ac:dyDescent="0.25">
      <c r="A13" s="2">
        <v>2015</v>
      </c>
      <c r="B13" s="71">
        <v>860.8</v>
      </c>
      <c r="C13" s="71">
        <v>48.1</v>
      </c>
      <c r="D13" s="21">
        <v>452.2</v>
      </c>
    </row>
    <row r="14" spans="1:4" x14ac:dyDescent="0.25">
      <c r="A14" s="9">
        <v>2014</v>
      </c>
      <c r="B14" s="72">
        <v>832.2</v>
      </c>
      <c r="C14" s="72">
        <v>43.1</v>
      </c>
      <c r="D14" s="23">
        <v>394.8</v>
      </c>
    </row>
    <row r="16" spans="1:4" x14ac:dyDescent="0.25">
      <c r="A16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2" spans="1:1" x14ac:dyDescent="0.25">
      <c r="A22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E22"/>
  <sheetViews>
    <sheetView workbookViewId="0"/>
  </sheetViews>
  <sheetFormatPr defaultColWidth="11.42578125" defaultRowHeight="15" x14ac:dyDescent="0.25"/>
  <cols>
    <col min="1" max="1" width="6.7109375" customWidth="1"/>
    <col min="2" max="2" width="27.7109375" customWidth="1"/>
    <col min="3" max="3" width="16.7109375" customWidth="1"/>
    <col min="4" max="4" width="26.7109375" customWidth="1"/>
    <col min="5" max="5" width="41.7109375" customWidth="1"/>
  </cols>
  <sheetData>
    <row r="1" spans="1:5" x14ac:dyDescent="0.25">
      <c r="A1" t="s">
        <v>295</v>
      </c>
    </row>
    <row r="3" spans="1:5" x14ac:dyDescent="0.25">
      <c r="A3" s="7" t="s">
        <v>21</v>
      </c>
      <c r="B3" s="6" t="s">
        <v>104</v>
      </c>
      <c r="C3" s="6" t="s">
        <v>296</v>
      </c>
      <c r="D3" s="6" t="s">
        <v>297</v>
      </c>
      <c r="E3" s="8" t="s">
        <v>106</v>
      </c>
    </row>
    <row r="4" spans="1:5" x14ac:dyDescent="0.25">
      <c r="A4" s="2">
        <v>2024</v>
      </c>
      <c r="B4" s="73">
        <v>40.4</v>
      </c>
      <c r="C4" s="74" t="s">
        <v>298</v>
      </c>
      <c r="D4" s="73">
        <v>41.4</v>
      </c>
      <c r="E4" s="21">
        <v>844</v>
      </c>
    </row>
    <row r="5" spans="1:5" x14ac:dyDescent="0.25">
      <c r="A5" s="2">
        <v>2023</v>
      </c>
      <c r="B5" s="73">
        <v>39.9</v>
      </c>
      <c r="C5" s="74" t="s">
        <v>298</v>
      </c>
      <c r="D5" s="73">
        <v>41.1</v>
      </c>
      <c r="E5" s="21">
        <v>814.7</v>
      </c>
    </row>
    <row r="6" spans="1:5" x14ac:dyDescent="0.25">
      <c r="A6" s="2">
        <v>2022</v>
      </c>
      <c r="B6" s="73">
        <v>34.5</v>
      </c>
      <c r="C6" s="74" t="s">
        <v>298</v>
      </c>
      <c r="D6" s="73">
        <v>35.5</v>
      </c>
      <c r="E6" s="21">
        <v>626.1</v>
      </c>
    </row>
    <row r="7" spans="1:5" x14ac:dyDescent="0.25">
      <c r="A7" s="2">
        <v>2021</v>
      </c>
      <c r="B7" s="73">
        <v>27.1</v>
      </c>
      <c r="C7" s="74" t="s">
        <v>299</v>
      </c>
      <c r="D7" s="73">
        <v>27.8</v>
      </c>
      <c r="E7" s="21">
        <v>413.5</v>
      </c>
    </row>
    <row r="8" spans="1:5" x14ac:dyDescent="0.25">
      <c r="A8" s="2">
        <v>2020</v>
      </c>
      <c r="B8" s="73">
        <v>22.4</v>
      </c>
      <c r="C8" s="74" t="s">
        <v>299</v>
      </c>
      <c r="D8" s="73">
        <v>22.8</v>
      </c>
      <c r="E8" s="21">
        <v>337.6</v>
      </c>
    </row>
    <row r="9" spans="1:5" x14ac:dyDescent="0.25">
      <c r="A9" s="2">
        <v>2019</v>
      </c>
      <c r="B9" s="73">
        <v>30.5</v>
      </c>
      <c r="C9" s="74" t="s">
        <v>300</v>
      </c>
      <c r="D9" s="73">
        <v>31.4</v>
      </c>
      <c r="E9" s="21">
        <v>457.2</v>
      </c>
    </row>
    <row r="10" spans="1:5" x14ac:dyDescent="0.25">
      <c r="A10" s="2">
        <v>2018</v>
      </c>
      <c r="B10" s="73">
        <v>27.3</v>
      </c>
      <c r="C10" s="74" t="s">
        <v>301</v>
      </c>
      <c r="D10" s="73">
        <v>27.9</v>
      </c>
      <c r="E10" s="21">
        <v>397.2</v>
      </c>
    </row>
    <row r="11" spans="1:5" x14ac:dyDescent="0.25">
      <c r="A11" s="2">
        <v>2017</v>
      </c>
      <c r="B11" s="73">
        <v>25.2</v>
      </c>
      <c r="C11" s="74" t="s">
        <v>301</v>
      </c>
      <c r="D11" s="73">
        <v>25.8</v>
      </c>
      <c r="E11" s="21">
        <v>344.6</v>
      </c>
    </row>
    <row r="12" spans="1:5" x14ac:dyDescent="0.25">
      <c r="A12" s="2">
        <v>2016</v>
      </c>
      <c r="B12" s="73">
        <v>19.3</v>
      </c>
      <c r="C12" s="74" t="s">
        <v>302</v>
      </c>
      <c r="D12" s="73">
        <v>19.600000000000001</v>
      </c>
      <c r="E12" s="21">
        <v>289.7</v>
      </c>
    </row>
    <row r="13" spans="1:5" x14ac:dyDescent="0.25">
      <c r="A13" s="2">
        <v>2015</v>
      </c>
      <c r="B13" s="73">
        <v>17.100000000000001</v>
      </c>
      <c r="C13" s="74" t="s">
        <v>303</v>
      </c>
      <c r="D13" s="73">
        <v>17.5</v>
      </c>
      <c r="E13" s="21">
        <v>255.1</v>
      </c>
    </row>
    <row r="14" spans="1:5" x14ac:dyDescent="0.25">
      <c r="A14" s="9">
        <v>2014</v>
      </c>
      <c r="B14" s="75">
        <v>14.2</v>
      </c>
      <c r="C14" s="76" t="s">
        <v>304</v>
      </c>
      <c r="D14" s="75">
        <v>14.4</v>
      </c>
      <c r="E14" s="23">
        <v>205.9</v>
      </c>
    </row>
    <row r="16" spans="1:5" x14ac:dyDescent="0.25">
      <c r="A16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2" spans="1:1" x14ac:dyDescent="0.25">
      <c r="A22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C9"/>
  <sheetViews>
    <sheetView workbookViewId="0"/>
  </sheetViews>
  <sheetFormatPr defaultColWidth="11.42578125" defaultRowHeight="15" x14ac:dyDescent="0.25"/>
  <cols>
    <col min="1" max="1" width="11.7109375" customWidth="1"/>
    <col min="2" max="2" width="21.7109375" customWidth="1"/>
    <col min="3" max="3" width="22.7109375" customWidth="1"/>
  </cols>
  <sheetData>
    <row r="1" spans="1:3" x14ac:dyDescent="0.25">
      <c r="A1" t="s">
        <v>306</v>
      </c>
    </row>
    <row r="3" spans="1:3" x14ac:dyDescent="0.25">
      <c r="A3" s="7" t="s">
        <v>307</v>
      </c>
      <c r="B3" s="6" t="s">
        <v>308</v>
      </c>
      <c r="C3" s="8" t="s">
        <v>309</v>
      </c>
    </row>
    <row r="4" spans="1:3" x14ac:dyDescent="0.25">
      <c r="A4" s="2" t="s">
        <v>310</v>
      </c>
      <c r="B4">
        <v>31.2</v>
      </c>
      <c r="C4" s="4">
        <v>30.9</v>
      </c>
    </row>
    <row r="5" spans="1:3" x14ac:dyDescent="0.25">
      <c r="A5" s="9" t="s">
        <v>311</v>
      </c>
      <c r="B5" s="10">
        <v>30.8</v>
      </c>
      <c r="C5" s="5">
        <v>30.4</v>
      </c>
    </row>
    <row r="7" spans="1:3" x14ac:dyDescent="0.25">
      <c r="A7" t="s">
        <v>108</v>
      </c>
    </row>
    <row r="9" spans="1:3" x14ac:dyDescent="0.25">
      <c r="A9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D15"/>
  <sheetViews>
    <sheetView workbookViewId="0"/>
  </sheetViews>
  <sheetFormatPr defaultColWidth="11.42578125" defaultRowHeight="15" x14ac:dyDescent="0.25"/>
  <cols>
    <col min="1" max="1" width="21.7109375" customWidth="1"/>
    <col min="2" max="2" width="11.7109375" customWidth="1"/>
    <col min="3" max="3" width="17.7109375" customWidth="1"/>
    <col min="4" max="4" width="18.7109375" customWidth="1"/>
  </cols>
  <sheetData>
    <row r="1" spans="1:4" x14ac:dyDescent="0.25">
      <c r="A1" t="s">
        <v>313</v>
      </c>
    </row>
    <row r="3" spans="1:4" x14ac:dyDescent="0.25">
      <c r="A3" s="7" t="s">
        <v>314</v>
      </c>
      <c r="B3" s="6" t="s">
        <v>307</v>
      </c>
      <c r="C3" s="6" t="s">
        <v>315</v>
      </c>
      <c r="D3" s="8" t="s">
        <v>316</v>
      </c>
    </row>
    <row r="4" spans="1:4" x14ac:dyDescent="0.25">
      <c r="A4" s="2" t="s">
        <v>77</v>
      </c>
      <c r="B4" t="s">
        <v>317</v>
      </c>
      <c r="C4" s="77">
        <v>16086</v>
      </c>
      <c r="D4" s="78">
        <v>0.567467456873743</v>
      </c>
    </row>
    <row r="5" spans="1:4" x14ac:dyDescent="0.25">
      <c r="A5" s="2" t="s">
        <v>78</v>
      </c>
      <c r="B5" t="s">
        <v>317</v>
      </c>
      <c r="C5" s="77">
        <v>9317</v>
      </c>
      <c r="D5" s="78">
        <v>0.32867675591773399</v>
      </c>
    </row>
    <row r="6" spans="1:4" x14ac:dyDescent="0.25">
      <c r="A6" s="2" t="s">
        <v>318</v>
      </c>
      <c r="B6" t="s">
        <v>317</v>
      </c>
      <c r="C6" s="77">
        <v>2904</v>
      </c>
      <c r="D6" s="78">
        <v>0.10244470314319</v>
      </c>
    </row>
    <row r="7" spans="1:4" x14ac:dyDescent="0.25">
      <c r="A7" s="2" t="s">
        <v>80</v>
      </c>
      <c r="B7" t="s">
        <v>317</v>
      </c>
      <c r="C7" s="77">
        <v>40</v>
      </c>
      <c r="D7" s="78">
        <v>1.41108406533319E-3</v>
      </c>
    </row>
    <row r="8" spans="1:4" x14ac:dyDescent="0.25">
      <c r="A8" s="2" t="s">
        <v>77</v>
      </c>
      <c r="B8" t="s">
        <v>319</v>
      </c>
      <c r="C8" s="77">
        <v>7088</v>
      </c>
      <c r="D8" s="78">
        <v>0.54289215686274495</v>
      </c>
    </row>
    <row r="9" spans="1:4" x14ac:dyDescent="0.25">
      <c r="A9" s="2" t="s">
        <v>78</v>
      </c>
      <c r="B9" t="s">
        <v>319</v>
      </c>
      <c r="C9" s="77">
        <v>4803</v>
      </c>
      <c r="D9" s="78">
        <v>0.36787683823529399</v>
      </c>
    </row>
    <row r="10" spans="1:4" x14ac:dyDescent="0.25">
      <c r="A10" s="2" t="s">
        <v>318</v>
      </c>
      <c r="B10" t="s">
        <v>319</v>
      </c>
      <c r="C10" s="77">
        <v>1151</v>
      </c>
      <c r="D10" s="78">
        <v>8.8158700980392204E-2</v>
      </c>
    </row>
    <row r="11" spans="1:4" x14ac:dyDescent="0.25">
      <c r="A11" s="9" t="s">
        <v>80</v>
      </c>
      <c r="B11" s="10" t="s">
        <v>319</v>
      </c>
      <c r="C11" s="79">
        <v>14</v>
      </c>
      <c r="D11" s="80">
        <v>1.0723039215686299E-3</v>
      </c>
    </row>
    <row r="13" spans="1:4" x14ac:dyDescent="0.25">
      <c r="A13" t="s">
        <v>108</v>
      </c>
    </row>
    <row r="15" spans="1:4" x14ac:dyDescent="0.25">
      <c r="A15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D31"/>
  <sheetViews>
    <sheetView workbookViewId="0"/>
  </sheetViews>
  <sheetFormatPr defaultColWidth="11.42578125" defaultRowHeight="15" x14ac:dyDescent="0.25"/>
  <cols>
    <col min="1" max="2" width="15.7109375" customWidth="1"/>
    <col min="3" max="3" width="11.7109375" customWidth="1"/>
    <col min="4" max="4" width="18.7109375" customWidth="1"/>
  </cols>
  <sheetData>
    <row r="1" spans="1:4" x14ac:dyDescent="0.25">
      <c r="A1" t="s">
        <v>321</v>
      </c>
    </row>
    <row r="3" spans="1:4" x14ac:dyDescent="0.25">
      <c r="A3" s="7" t="s">
        <v>322</v>
      </c>
      <c r="B3" s="6" t="s">
        <v>314</v>
      </c>
      <c r="C3" s="6" t="s">
        <v>307</v>
      </c>
      <c r="D3" s="8" t="s">
        <v>316</v>
      </c>
    </row>
    <row r="4" spans="1:4" x14ac:dyDescent="0.25">
      <c r="A4" s="2" t="s">
        <v>323</v>
      </c>
      <c r="B4" t="s">
        <v>78</v>
      </c>
      <c r="C4" t="s">
        <v>317</v>
      </c>
      <c r="D4" s="81">
        <v>8.3000000000000004E-2</v>
      </c>
    </row>
    <row r="5" spans="1:4" x14ac:dyDescent="0.25">
      <c r="A5" s="2" t="s">
        <v>323</v>
      </c>
      <c r="B5" t="s">
        <v>78</v>
      </c>
      <c r="C5" t="s">
        <v>319</v>
      </c>
      <c r="D5" s="81">
        <v>0.54500000000000004</v>
      </c>
    </row>
    <row r="6" spans="1:4" x14ac:dyDescent="0.25">
      <c r="A6" s="2" t="s">
        <v>323</v>
      </c>
      <c r="B6" t="s">
        <v>77</v>
      </c>
      <c r="C6" t="s">
        <v>317</v>
      </c>
      <c r="D6" s="81">
        <v>0.41699999999999998</v>
      </c>
    </row>
    <row r="7" spans="1:4" x14ac:dyDescent="0.25">
      <c r="A7" s="2" t="s">
        <v>323</v>
      </c>
      <c r="B7" t="s">
        <v>77</v>
      </c>
      <c r="C7" t="s">
        <v>319</v>
      </c>
      <c r="D7" s="81">
        <v>0.27300000000000002</v>
      </c>
    </row>
    <row r="8" spans="1:4" x14ac:dyDescent="0.25">
      <c r="A8" s="2" t="s">
        <v>324</v>
      </c>
      <c r="B8" t="s">
        <v>78</v>
      </c>
      <c r="C8" t="s">
        <v>317</v>
      </c>
      <c r="D8" s="81">
        <v>0.28999999999999998</v>
      </c>
    </row>
    <row r="9" spans="1:4" x14ac:dyDescent="0.25">
      <c r="A9" s="2" t="s">
        <v>324</v>
      </c>
      <c r="B9" t="s">
        <v>78</v>
      </c>
      <c r="C9" t="s">
        <v>319</v>
      </c>
      <c r="D9" s="81">
        <v>0.34899999999999998</v>
      </c>
    </row>
    <row r="10" spans="1:4" x14ac:dyDescent="0.25">
      <c r="A10" s="2" t="s">
        <v>324</v>
      </c>
      <c r="B10" t="s">
        <v>77</v>
      </c>
      <c r="C10" t="s">
        <v>317</v>
      </c>
      <c r="D10" s="81">
        <v>0.48399999999999999</v>
      </c>
    </row>
    <row r="11" spans="1:4" x14ac:dyDescent="0.25">
      <c r="A11" s="2" t="s">
        <v>324</v>
      </c>
      <c r="B11" t="s">
        <v>77</v>
      </c>
      <c r="C11" t="s">
        <v>319</v>
      </c>
      <c r="D11" s="81">
        <v>0.48799999999999999</v>
      </c>
    </row>
    <row r="12" spans="1:4" x14ac:dyDescent="0.25">
      <c r="A12" s="2" t="s">
        <v>325</v>
      </c>
      <c r="B12" t="s">
        <v>78</v>
      </c>
      <c r="C12" t="s">
        <v>317</v>
      </c>
      <c r="D12" s="81">
        <v>0.245</v>
      </c>
    </row>
    <row r="13" spans="1:4" x14ac:dyDescent="0.25">
      <c r="A13" s="2" t="s">
        <v>325</v>
      </c>
      <c r="B13" t="s">
        <v>78</v>
      </c>
      <c r="C13" t="s">
        <v>319</v>
      </c>
      <c r="D13" s="81">
        <v>0.33</v>
      </c>
    </row>
    <row r="14" spans="1:4" x14ac:dyDescent="0.25">
      <c r="A14" s="2" t="s">
        <v>325</v>
      </c>
      <c r="B14" t="s">
        <v>77</v>
      </c>
      <c r="C14" t="s">
        <v>317</v>
      </c>
      <c r="D14" s="81">
        <v>0.66200000000000003</v>
      </c>
    </row>
    <row r="15" spans="1:4" x14ac:dyDescent="0.25">
      <c r="A15" s="2" t="s">
        <v>325</v>
      </c>
      <c r="B15" t="s">
        <v>77</v>
      </c>
      <c r="C15" t="s">
        <v>319</v>
      </c>
      <c r="D15" s="81">
        <v>0.58399999999999996</v>
      </c>
    </row>
    <row r="16" spans="1:4" x14ac:dyDescent="0.25">
      <c r="A16" s="2" t="s">
        <v>326</v>
      </c>
      <c r="B16" t="s">
        <v>78</v>
      </c>
      <c r="C16" t="s">
        <v>317</v>
      </c>
      <c r="D16" s="81">
        <v>0.27200000000000002</v>
      </c>
    </row>
    <row r="17" spans="1:4" x14ac:dyDescent="0.25">
      <c r="A17" s="2" t="s">
        <v>326</v>
      </c>
      <c r="B17" t="s">
        <v>78</v>
      </c>
      <c r="C17" t="s">
        <v>319</v>
      </c>
      <c r="D17" s="81">
        <v>0.32100000000000001</v>
      </c>
    </row>
    <row r="18" spans="1:4" x14ac:dyDescent="0.25">
      <c r="A18" s="2" t="s">
        <v>326</v>
      </c>
      <c r="B18" t="s">
        <v>77</v>
      </c>
      <c r="C18" t="s">
        <v>317</v>
      </c>
      <c r="D18" s="81">
        <v>0.64600000000000002</v>
      </c>
    </row>
    <row r="19" spans="1:4" x14ac:dyDescent="0.25">
      <c r="A19" s="2" t="s">
        <v>326</v>
      </c>
      <c r="B19" t="s">
        <v>77</v>
      </c>
      <c r="C19" t="s">
        <v>319</v>
      </c>
      <c r="D19" s="81">
        <v>0.60599999999999998</v>
      </c>
    </row>
    <row r="20" spans="1:4" x14ac:dyDescent="0.25">
      <c r="A20" s="2" t="s">
        <v>327</v>
      </c>
      <c r="B20" t="s">
        <v>78</v>
      </c>
      <c r="C20" t="s">
        <v>317</v>
      </c>
      <c r="D20" s="81">
        <v>0.32100000000000001</v>
      </c>
    </row>
    <row r="21" spans="1:4" x14ac:dyDescent="0.25">
      <c r="A21" s="2" t="s">
        <v>327</v>
      </c>
      <c r="B21" t="s">
        <v>78</v>
      </c>
      <c r="C21" t="s">
        <v>319</v>
      </c>
      <c r="D21" s="81">
        <v>0.375</v>
      </c>
    </row>
    <row r="22" spans="1:4" x14ac:dyDescent="0.25">
      <c r="A22" s="2" t="s">
        <v>327</v>
      </c>
      <c r="B22" t="s">
        <v>77</v>
      </c>
      <c r="C22" t="s">
        <v>317</v>
      </c>
      <c r="D22" s="81">
        <v>0.58499999999999996</v>
      </c>
    </row>
    <row r="23" spans="1:4" x14ac:dyDescent="0.25">
      <c r="A23" s="2" t="s">
        <v>327</v>
      </c>
      <c r="B23" t="s">
        <v>77</v>
      </c>
      <c r="C23" t="s">
        <v>319</v>
      </c>
      <c r="D23" s="81">
        <v>0.54700000000000004</v>
      </c>
    </row>
    <row r="24" spans="1:4" x14ac:dyDescent="0.25">
      <c r="A24" s="2" t="s">
        <v>162</v>
      </c>
      <c r="B24" t="s">
        <v>78</v>
      </c>
      <c r="C24" t="s">
        <v>317</v>
      </c>
      <c r="D24" s="81">
        <v>0.40600000000000003</v>
      </c>
    </row>
    <row r="25" spans="1:4" x14ac:dyDescent="0.25">
      <c r="A25" s="2" t="s">
        <v>162</v>
      </c>
      <c r="B25" t="s">
        <v>78</v>
      </c>
      <c r="C25" t="s">
        <v>319</v>
      </c>
      <c r="D25" s="81">
        <v>0.439</v>
      </c>
    </row>
    <row r="26" spans="1:4" x14ac:dyDescent="0.25">
      <c r="A26" s="2" t="s">
        <v>162</v>
      </c>
      <c r="B26" t="s">
        <v>77</v>
      </c>
      <c r="C26" t="s">
        <v>317</v>
      </c>
      <c r="D26" s="81">
        <v>0.45200000000000001</v>
      </c>
    </row>
    <row r="27" spans="1:4" x14ac:dyDescent="0.25">
      <c r="A27" s="9" t="s">
        <v>162</v>
      </c>
      <c r="B27" s="10" t="s">
        <v>77</v>
      </c>
      <c r="C27" s="10" t="s">
        <v>319</v>
      </c>
      <c r="D27" s="82">
        <v>0.42</v>
      </c>
    </row>
    <row r="29" spans="1:4" x14ac:dyDescent="0.25">
      <c r="A29" t="s">
        <v>108</v>
      </c>
    </row>
    <row r="31" spans="1:4" x14ac:dyDescent="0.25">
      <c r="A31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1"/>
  <sheetViews>
    <sheetView workbookViewId="0"/>
  </sheetViews>
  <sheetFormatPr defaultColWidth="11.42578125" defaultRowHeight="15" x14ac:dyDescent="0.25"/>
  <cols>
    <col min="1" max="1" width="12.7109375" customWidth="1"/>
    <col min="2" max="2" width="6.7109375" customWidth="1"/>
    <col min="3" max="3" width="22.7109375" customWidth="1"/>
  </cols>
  <sheetData>
    <row r="1" spans="1:3" x14ac:dyDescent="0.25">
      <c r="A1" t="s">
        <v>19</v>
      </c>
    </row>
    <row r="3" spans="1:3" x14ac:dyDescent="0.25">
      <c r="A3" s="7" t="s">
        <v>20</v>
      </c>
      <c r="B3" s="6" t="s">
        <v>21</v>
      </c>
      <c r="C3" s="8" t="s">
        <v>22</v>
      </c>
    </row>
    <row r="4" spans="1:3" x14ac:dyDescent="0.25">
      <c r="A4" s="2" t="s">
        <v>23</v>
      </c>
      <c r="B4" t="s">
        <v>24</v>
      </c>
      <c r="C4" s="13">
        <v>0.14699999999999999</v>
      </c>
    </row>
    <row r="5" spans="1:3" x14ac:dyDescent="0.25">
      <c r="A5" s="2" t="s">
        <v>25</v>
      </c>
      <c r="B5" t="s">
        <v>24</v>
      </c>
      <c r="C5" s="13">
        <v>0.14000000000000001</v>
      </c>
    </row>
    <row r="6" spans="1:3" x14ac:dyDescent="0.25">
      <c r="A6" s="2" t="s">
        <v>26</v>
      </c>
      <c r="B6" t="s">
        <v>24</v>
      </c>
      <c r="C6" s="13">
        <v>0.14799999999999999</v>
      </c>
    </row>
    <row r="7" spans="1:3" x14ac:dyDescent="0.25">
      <c r="A7" s="2" t="s">
        <v>27</v>
      </c>
      <c r="B7" t="s">
        <v>24</v>
      </c>
      <c r="C7" s="13">
        <v>0.187</v>
      </c>
    </row>
    <row r="8" spans="1:3" x14ac:dyDescent="0.25">
      <c r="A8" s="2" t="s">
        <v>28</v>
      </c>
      <c r="B8" t="s">
        <v>24</v>
      </c>
      <c r="C8" s="13">
        <v>0.14499999999999999</v>
      </c>
    </row>
    <row r="9" spans="1:3" x14ac:dyDescent="0.25">
      <c r="A9" s="2" t="s">
        <v>29</v>
      </c>
      <c r="B9" t="s">
        <v>24</v>
      </c>
      <c r="C9" s="13">
        <v>0.193</v>
      </c>
    </row>
    <row r="10" spans="1:3" x14ac:dyDescent="0.25">
      <c r="A10" s="2" t="s">
        <v>30</v>
      </c>
      <c r="B10" t="s">
        <v>24</v>
      </c>
      <c r="C10" s="13">
        <v>0.14899999999999999</v>
      </c>
    </row>
    <row r="11" spans="1:3" x14ac:dyDescent="0.25">
      <c r="A11" s="2" t="s">
        <v>31</v>
      </c>
      <c r="B11" t="s">
        <v>24</v>
      </c>
      <c r="C11" s="13">
        <v>0.20399999999999999</v>
      </c>
    </row>
    <row r="12" spans="1:3" x14ac:dyDescent="0.25">
      <c r="A12" s="2" t="s">
        <v>32</v>
      </c>
      <c r="B12" t="s">
        <v>24</v>
      </c>
      <c r="C12" s="13">
        <v>0.183</v>
      </c>
    </row>
    <row r="13" spans="1:3" x14ac:dyDescent="0.25">
      <c r="A13" s="2" t="s">
        <v>33</v>
      </c>
      <c r="B13" t="s">
        <v>24</v>
      </c>
      <c r="C13" s="13">
        <v>0.153</v>
      </c>
    </row>
    <row r="14" spans="1:3" x14ac:dyDescent="0.25">
      <c r="A14" s="2" t="s">
        <v>34</v>
      </c>
      <c r="B14" t="s">
        <v>24</v>
      </c>
      <c r="C14" s="13">
        <v>0.17299999999999999</v>
      </c>
    </row>
    <row r="15" spans="1:3" x14ac:dyDescent="0.25">
      <c r="A15" s="2" t="s">
        <v>35</v>
      </c>
      <c r="B15" t="s">
        <v>24</v>
      </c>
      <c r="C15" s="13">
        <v>0.16700000000000001</v>
      </c>
    </row>
    <row r="16" spans="1:3" x14ac:dyDescent="0.25">
      <c r="A16" s="2" t="s">
        <v>36</v>
      </c>
      <c r="B16" t="s">
        <v>24</v>
      </c>
      <c r="C16" s="13">
        <v>0.17299999999999999</v>
      </c>
    </row>
    <row r="17" spans="1:3" x14ac:dyDescent="0.25">
      <c r="A17" s="2" t="s">
        <v>37</v>
      </c>
      <c r="B17" t="s">
        <v>24</v>
      </c>
      <c r="C17" s="13">
        <v>0.156</v>
      </c>
    </row>
    <row r="18" spans="1:3" x14ac:dyDescent="0.25">
      <c r="A18" s="2" t="s">
        <v>38</v>
      </c>
      <c r="B18" t="s">
        <v>24</v>
      </c>
      <c r="C18" s="13">
        <v>0.21299999999999999</v>
      </c>
    </row>
    <row r="19" spans="1:3" x14ac:dyDescent="0.25">
      <c r="A19" s="2" t="s">
        <v>39</v>
      </c>
      <c r="B19" t="s">
        <v>24</v>
      </c>
      <c r="C19" s="13">
        <v>0.26</v>
      </c>
    </row>
    <row r="20" spans="1:3" x14ac:dyDescent="0.25">
      <c r="A20" s="2" t="s">
        <v>40</v>
      </c>
      <c r="B20" t="s">
        <v>24</v>
      </c>
      <c r="C20" s="13">
        <v>0.13300000000000001</v>
      </c>
    </row>
    <row r="21" spans="1:3" x14ac:dyDescent="0.25">
      <c r="A21" s="2" t="s">
        <v>41</v>
      </c>
      <c r="B21" t="s">
        <v>24</v>
      </c>
      <c r="C21" s="13">
        <v>0.13100000000000001</v>
      </c>
    </row>
    <row r="22" spans="1:3" x14ac:dyDescent="0.25">
      <c r="A22" s="2" t="s">
        <v>42</v>
      </c>
      <c r="B22" t="s">
        <v>24</v>
      </c>
      <c r="C22" s="13">
        <v>0.17199999999999999</v>
      </c>
    </row>
    <row r="23" spans="1:3" x14ac:dyDescent="0.25">
      <c r="A23" s="2" t="s">
        <v>43</v>
      </c>
      <c r="B23" t="s">
        <v>24</v>
      </c>
      <c r="C23" s="13">
        <v>0.16600000000000001</v>
      </c>
    </row>
    <row r="24" spans="1:3" x14ac:dyDescent="0.25">
      <c r="A24" s="2" t="s">
        <v>44</v>
      </c>
      <c r="B24" t="s">
        <v>24</v>
      </c>
      <c r="C24" s="13">
        <v>9.4E-2</v>
      </c>
    </row>
    <row r="25" spans="1:3" x14ac:dyDescent="0.25">
      <c r="A25" s="2" t="s">
        <v>45</v>
      </c>
      <c r="B25" t="s">
        <v>24</v>
      </c>
      <c r="C25" s="13">
        <v>0.16300000000000001</v>
      </c>
    </row>
    <row r="26" spans="1:3" x14ac:dyDescent="0.25">
      <c r="A26" s="2" t="s">
        <v>46</v>
      </c>
      <c r="B26" t="s">
        <v>24</v>
      </c>
      <c r="C26" s="13">
        <v>0.192</v>
      </c>
    </row>
    <row r="27" spans="1:3" x14ac:dyDescent="0.25">
      <c r="A27" s="2" t="s">
        <v>47</v>
      </c>
      <c r="B27" t="s">
        <v>24</v>
      </c>
      <c r="C27" s="13">
        <v>0.14000000000000001</v>
      </c>
    </row>
    <row r="28" spans="1:3" x14ac:dyDescent="0.25">
      <c r="A28" s="2" t="s">
        <v>48</v>
      </c>
      <c r="B28" t="s">
        <v>24</v>
      </c>
      <c r="C28" s="13">
        <v>0.21199999999999999</v>
      </c>
    </row>
    <row r="29" spans="1:3" x14ac:dyDescent="0.25">
      <c r="A29" s="2" t="s">
        <v>49</v>
      </c>
      <c r="B29" t="s">
        <v>24</v>
      </c>
      <c r="C29" s="13">
        <v>0.108</v>
      </c>
    </row>
    <row r="30" spans="1:3" x14ac:dyDescent="0.25">
      <c r="A30" s="2" t="s">
        <v>23</v>
      </c>
      <c r="B30" t="s">
        <v>50</v>
      </c>
      <c r="C30" s="13">
        <v>0.15</v>
      </c>
    </row>
    <row r="31" spans="1:3" x14ac:dyDescent="0.25">
      <c r="A31" s="2" t="s">
        <v>25</v>
      </c>
      <c r="B31" t="s">
        <v>50</v>
      </c>
      <c r="C31" s="13">
        <v>0.14699999999999999</v>
      </c>
    </row>
    <row r="32" spans="1:3" x14ac:dyDescent="0.25">
      <c r="A32" s="2" t="s">
        <v>26</v>
      </c>
      <c r="B32" t="s">
        <v>50</v>
      </c>
      <c r="C32" s="13">
        <v>0.14099999999999999</v>
      </c>
    </row>
    <row r="33" spans="1:3" x14ac:dyDescent="0.25">
      <c r="A33" s="2" t="s">
        <v>27</v>
      </c>
      <c r="B33" t="s">
        <v>50</v>
      </c>
      <c r="C33" s="13">
        <v>0.182</v>
      </c>
    </row>
    <row r="34" spans="1:3" x14ac:dyDescent="0.25">
      <c r="A34" s="2" t="s">
        <v>28</v>
      </c>
      <c r="B34" t="s">
        <v>50</v>
      </c>
      <c r="C34" s="13">
        <v>0.14699999999999999</v>
      </c>
    </row>
    <row r="35" spans="1:3" x14ac:dyDescent="0.25">
      <c r="A35" s="2" t="s">
        <v>29</v>
      </c>
      <c r="B35" t="s">
        <v>50</v>
      </c>
      <c r="C35" s="13">
        <v>0.20499999999999999</v>
      </c>
    </row>
    <row r="36" spans="1:3" x14ac:dyDescent="0.25">
      <c r="A36" s="2" t="s">
        <v>30</v>
      </c>
      <c r="B36" t="s">
        <v>50</v>
      </c>
      <c r="C36" s="13">
        <v>0.18</v>
      </c>
    </row>
    <row r="37" spans="1:3" x14ac:dyDescent="0.25">
      <c r="A37" s="2" t="s">
        <v>31</v>
      </c>
      <c r="B37" t="s">
        <v>50</v>
      </c>
      <c r="C37" s="13">
        <v>0.21</v>
      </c>
    </row>
    <row r="38" spans="1:3" x14ac:dyDescent="0.25">
      <c r="A38" s="2" t="s">
        <v>32</v>
      </c>
      <c r="B38" t="s">
        <v>50</v>
      </c>
      <c r="C38" s="13">
        <v>0.20799999999999999</v>
      </c>
    </row>
    <row r="39" spans="1:3" x14ac:dyDescent="0.25">
      <c r="A39" s="2" t="s">
        <v>33</v>
      </c>
      <c r="B39" t="s">
        <v>50</v>
      </c>
      <c r="C39" s="13">
        <v>0.153</v>
      </c>
    </row>
    <row r="40" spans="1:3" x14ac:dyDescent="0.25">
      <c r="A40" s="2" t="s">
        <v>34</v>
      </c>
      <c r="B40" t="s">
        <v>50</v>
      </c>
      <c r="C40" s="13">
        <v>0.11600000000000001</v>
      </c>
    </row>
    <row r="41" spans="1:3" x14ac:dyDescent="0.25">
      <c r="A41" s="2" t="s">
        <v>35</v>
      </c>
      <c r="B41" t="s">
        <v>50</v>
      </c>
      <c r="C41" s="13">
        <v>0.14099999999999999</v>
      </c>
    </row>
    <row r="42" spans="1:3" x14ac:dyDescent="0.25">
      <c r="A42" s="2" t="s">
        <v>36</v>
      </c>
      <c r="B42" t="s">
        <v>50</v>
      </c>
      <c r="C42" s="13">
        <v>0.17499999999999999</v>
      </c>
    </row>
    <row r="43" spans="1:3" x14ac:dyDescent="0.25">
      <c r="A43" s="2" t="s">
        <v>37</v>
      </c>
      <c r="B43" t="s">
        <v>50</v>
      </c>
      <c r="C43" s="13">
        <v>0.16</v>
      </c>
    </row>
    <row r="44" spans="1:3" x14ac:dyDescent="0.25">
      <c r="A44" s="2" t="s">
        <v>38</v>
      </c>
      <c r="B44" t="s">
        <v>50</v>
      </c>
      <c r="C44" s="13">
        <v>0.215</v>
      </c>
    </row>
    <row r="45" spans="1:3" x14ac:dyDescent="0.25">
      <c r="A45" s="2" t="s">
        <v>39</v>
      </c>
      <c r="B45" t="s">
        <v>50</v>
      </c>
      <c r="C45" s="13">
        <v>0.25700000000000001</v>
      </c>
    </row>
    <row r="46" spans="1:3" x14ac:dyDescent="0.25">
      <c r="A46" s="2" t="s">
        <v>40</v>
      </c>
      <c r="B46" t="s">
        <v>50</v>
      </c>
      <c r="C46" s="13">
        <v>0.13</v>
      </c>
    </row>
    <row r="47" spans="1:3" x14ac:dyDescent="0.25">
      <c r="A47" s="2" t="s">
        <v>41</v>
      </c>
      <c r="B47" t="s">
        <v>50</v>
      </c>
      <c r="C47" s="13">
        <v>0.13800000000000001</v>
      </c>
    </row>
    <row r="48" spans="1:3" x14ac:dyDescent="0.25">
      <c r="A48" s="2" t="s">
        <v>42</v>
      </c>
      <c r="B48" t="s">
        <v>50</v>
      </c>
      <c r="C48" s="13">
        <v>0.16900000000000001</v>
      </c>
    </row>
    <row r="49" spans="1:3" x14ac:dyDescent="0.25">
      <c r="A49" s="2" t="s">
        <v>43</v>
      </c>
      <c r="B49" t="s">
        <v>50</v>
      </c>
      <c r="C49" s="13">
        <v>0.157</v>
      </c>
    </row>
    <row r="50" spans="1:3" x14ac:dyDescent="0.25">
      <c r="A50" s="2" t="s">
        <v>44</v>
      </c>
      <c r="B50" t="s">
        <v>50</v>
      </c>
      <c r="C50" s="13">
        <v>0.104</v>
      </c>
    </row>
    <row r="51" spans="1:3" x14ac:dyDescent="0.25">
      <c r="A51" s="2" t="s">
        <v>45</v>
      </c>
      <c r="B51" t="s">
        <v>50</v>
      </c>
      <c r="C51" s="13">
        <v>0.14399999999999999</v>
      </c>
    </row>
    <row r="52" spans="1:3" x14ac:dyDescent="0.25">
      <c r="A52" s="2" t="s">
        <v>46</v>
      </c>
      <c r="B52" t="s">
        <v>50</v>
      </c>
      <c r="C52" s="13">
        <v>0.17299999999999999</v>
      </c>
    </row>
    <row r="53" spans="1:3" x14ac:dyDescent="0.25">
      <c r="A53" s="2" t="s">
        <v>47</v>
      </c>
      <c r="B53" t="s">
        <v>50</v>
      </c>
      <c r="C53" s="13">
        <v>0.17399999999999999</v>
      </c>
    </row>
    <row r="54" spans="1:3" x14ac:dyDescent="0.25">
      <c r="A54" s="2" t="s">
        <v>48</v>
      </c>
      <c r="B54" t="s">
        <v>50</v>
      </c>
      <c r="C54" s="13">
        <v>0.2</v>
      </c>
    </row>
    <row r="55" spans="1:3" x14ac:dyDescent="0.25">
      <c r="A55" s="2" t="s">
        <v>49</v>
      </c>
      <c r="B55" t="s">
        <v>50</v>
      </c>
      <c r="C55" s="13">
        <v>5.8999999999999997E-2</v>
      </c>
    </row>
    <row r="56" spans="1:3" x14ac:dyDescent="0.25">
      <c r="A56" s="2" t="s">
        <v>23</v>
      </c>
      <c r="B56" t="s">
        <v>51</v>
      </c>
      <c r="C56" s="13">
        <v>0.17100000000000001</v>
      </c>
    </row>
    <row r="57" spans="1:3" x14ac:dyDescent="0.25">
      <c r="A57" s="2" t="s">
        <v>25</v>
      </c>
      <c r="B57" t="s">
        <v>51</v>
      </c>
      <c r="C57" s="13">
        <v>0.16300000000000001</v>
      </c>
    </row>
    <row r="58" spans="1:3" x14ac:dyDescent="0.25">
      <c r="A58" s="2" t="s">
        <v>26</v>
      </c>
      <c r="B58" t="s">
        <v>51</v>
      </c>
      <c r="C58" s="13">
        <v>0.13600000000000001</v>
      </c>
    </row>
    <row r="59" spans="1:3" x14ac:dyDescent="0.25">
      <c r="A59" s="2" t="s">
        <v>27</v>
      </c>
      <c r="B59" t="s">
        <v>51</v>
      </c>
      <c r="C59" s="13">
        <v>0.23</v>
      </c>
    </row>
    <row r="60" spans="1:3" x14ac:dyDescent="0.25">
      <c r="A60" s="2" t="s">
        <v>28</v>
      </c>
      <c r="B60" t="s">
        <v>51</v>
      </c>
      <c r="C60" s="13">
        <v>0.152</v>
      </c>
    </row>
    <row r="61" spans="1:3" x14ac:dyDescent="0.25">
      <c r="A61" s="2" t="s">
        <v>29</v>
      </c>
      <c r="B61" t="s">
        <v>51</v>
      </c>
      <c r="C61" s="13">
        <v>0.19800000000000001</v>
      </c>
    </row>
    <row r="62" spans="1:3" x14ac:dyDescent="0.25">
      <c r="A62" s="2" t="s">
        <v>30</v>
      </c>
      <c r="B62" t="s">
        <v>51</v>
      </c>
      <c r="C62" s="13">
        <v>0.16500000000000001</v>
      </c>
    </row>
    <row r="63" spans="1:3" x14ac:dyDescent="0.25">
      <c r="A63" s="2" t="s">
        <v>31</v>
      </c>
      <c r="B63" t="s">
        <v>51</v>
      </c>
      <c r="C63" s="13">
        <v>0.218</v>
      </c>
    </row>
    <row r="64" spans="1:3" x14ac:dyDescent="0.25">
      <c r="A64" s="2" t="s">
        <v>32</v>
      </c>
      <c r="B64" t="s">
        <v>51</v>
      </c>
      <c r="C64" s="13">
        <v>0.20899999999999999</v>
      </c>
    </row>
    <row r="65" spans="1:3" x14ac:dyDescent="0.25">
      <c r="A65" s="2" t="s">
        <v>33</v>
      </c>
      <c r="B65" t="s">
        <v>51</v>
      </c>
      <c r="C65" s="13">
        <v>0.15</v>
      </c>
    </row>
    <row r="66" spans="1:3" x14ac:dyDescent="0.25">
      <c r="A66" s="2" t="s">
        <v>34</v>
      </c>
      <c r="B66" t="s">
        <v>51</v>
      </c>
      <c r="C66" s="13">
        <v>0.16700000000000001</v>
      </c>
    </row>
    <row r="67" spans="1:3" x14ac:dyDescent="0.25">
      <c r="A67" s="2" t="s">
        <v>35</v>
      </c>
      <c r="B67" t="s">
        <v>51</v>
      </c>
      <c r="C67" s="13">
        <v>0.16</v>
      </c>
    </row>
    <row r="68" spans="1:3" x14ac:dyDescent="0.25">
      <c r="A68" s="2" t="s">
        <v>36</v>
      </c>
      <c r="B68" t="s">
        <v>51</v>
      </c>
      <c r="C68" s="13">
        <v>0.189</v>
      </c>
    </row>
    <row r="69" spans="1:3" x14ac:dyDescent="0.25">
      <c r="A69" s="2" t="s">
        <v>37</v>
      </c>
      <c r="B69" t="s">
        <v>51</v>
      </c>
      <c r="C69" s="13">
        <v>0.16500000000000001</v>
      </c>
    </row>
    <row r="70" spans="1:3" x14ac:dyDescent="0.25">
      <c r="A70" s="2" t="s">
        <v>38</v>
      </c>
      <c r="B70" t="s">
        <v>51</v>
      </c>
      <c r="C70" s="13">
        <v>0.23</v>
      </c>
    </row>
    <row r="71" spans="1:3" x14ac:dyDescent="0.25">
      <c r="A71" s="2" t="s">
        <v>39</v>
      </c>
      <c r="B71" t="s">
        <v>51</v>
      </c>
      <c r="C71" s="13">
        <v>0.28699999999999998</v>
      </c>
    </row>
    <row r="72" spans="1:3" x14ac:dyDescent="0.25">
      <c r="A72" s="2" t="s">
        <v>40</v>
      </c>
      <c r="B72" t="s">
        <v>51</v>
      </c>
      <c r="C72" s="13">
        <v>0.14699999999999999</v>
      </c>
    </row>
    <row r="73" spans="1:3" x14ac:dyDescent="0.25">
      <c r="A73" s="2" t="s">
        <v>41</v>
      </c>
      <c r="B73" t="s">
        <v>51</v>
      </c>
      <c r="C73" s="13">
        <v>0.14099999999999999</v>
      </c>
    </row>
    <row r="74" spans="1:3" x14ac:dyDescent="0.25">
      <c r="A74" s="2" t="s">
        <v>42</v>
      </c>
      <c r="B74" t="s">
        <v>51</v>
      </c>
      <c r="C74" s="13">
        <v>0.19</v>
      </c>
    </row>
    <row r="75" spans="1:3" x14ac:dyDescent="0.25">
      <c r="A75" s="2" t="s">
        <v>43</v>
      </c>
      <c r="B75" t="s">
        <v>51</v>
      </c>
      <c r="C75" s="13">
        <v>0.17699999999999999</v>
      </c>
    </row>
    <row r="76" spans="1:3" x14ac:dyDescent="0.25">
      <c r="A76" s="2" t="s">
        <v>44</v>
      </c>
      <c r="B76" t="s">
        <v>51</v>
      </c>
      <c r="C76" s="13">
        <v>0.109</v>
      </c>
    </row>
    <row r="77" spans="1:3" x14ac:dyDescent="0.25">
      <c r="A77" s="2" t="s">
        <v>45</v>
      </c>
      <c r="B77" t="s">
        <v>51</v>
      </c>
      <c r="C77" s="13">
        <v>0.19700000000000001</v>
      </c>
    </row>
    <row r="78" spans="1:3" x14ac:dyDescent="0.25">
      <c r="A78" s="2" t="s">
        <v>46</v>
      </c>
      <c r="B78" t="s">
        <v>51</v>
      </c>
      <c r="C78" s="13">
        <v>0.19900000000000001</v>
      </c>
    </row>
    <row r="79" spans="1:3" x14ac:dyDescent="0.25">
      <c r="A79" s="2" t="s">
        <v>47</v>
      </c>
      <c r="B79" t="s">
        <v>51</v>
      </c>
      <c r="C79" s="13">
        <v>0.153</v>
      </c>
    </row>
    <row r="80" spans="1:3" x14ac:dyDescent="0.25">
      <c r="A80" s="2" t="s">
        <v>48</v>
      </c>
      <c r="B80" t="s">
        <v>51</v>
      </c>
      <c r="C80" s="13">
        <v>0.245</v>
      </c>
    </row>
    <row r="81" spans="1:3" x14ac:dyDescent="0.25">
      <c r="A81" s="2" t="s">
        <v>49</v>
      </c>
      <c r="B81" t="s">
        <v>51</v>
      </c>
      <c r="C81" s="13">
        <v>0.11700000000000001</v>
      </c>
    </row>
    <row r="82" spans="1:3" x14ac:dyDescent="0.25">
      <c r="A82" s="2" t="s">
        <v>23</v>
      </c>
      <c r="B82" t="s">
        <v>52</v>
      </c>
      <c r="C82" s="13">
        <v>0.17699999999999999</v>
      </c>
    </row>
    <row r="83" spans="1:3" x14ac:dyDescent="0.25">
      <c r="A83" s="2" t="s">
        <v>25</v>
      </c>
      <c r="B83" t="s">
        <v>52</v>
      </c>
      <c r="C83" s="13">
        <v>0.158</v>
      </c>
    </row>
    <row r="84" spans="1:3" x14ac:dyDescent="0.25">
      <c r="A84" s="2" t="s">
        <v>26</v>
      </c>
      <c r="B84" t="s">
        <v>52</v>
      </c>
      <c r="C84" s="13">
        <v>0.11700000000000001</v>
      </c>
    </row>
    <row r="85" spans="1:3" x14ac:dyDescent="0.25">
      <c r="A85" s="2" t="s">
        <v>27</v>
      </c>
      <c r="B85" t="s">
        <v>52</v>
      </c>
      <c r="C85" s="13">
        <v>0.16700000000000001</v>
      </c>
    </row>
    <row r="86" spans="1:3" x14ac:dyDescent="0.25">
      <c r="A86" s="2" t="s">
        <v>28</v>
      </c>
      <c r="B86" t="s">
        <v>52</v>
      </c>
      <c r="C86" s="13">
        <v>0.13800000000000001</v>
      </c>
    </row>
    <row r="87" spans="1:3" x14ac:dyDescent="0.25">
      <c r="A87" s="2" t="s">
        <v>29</v>
      </c>
      <c r="B87" t="s">
        <v>52</v>
      </c>
      <c r="C87" s="13">
        <v>0.17799999999999999</v>
      </c>
    </row>
    <row r="88" spans="1:3" x14ac:dyDescent="0.25">
      <c r="A88" s="2" t="s">
        <v>30</v>
      </c>
      <c r="B88" t="s">
        <v>52</v>
      </c>
      <c r="C88" s="13">
        <v>0.19400000000000001</v>
      </c>
    </row>
    <row r="89" spans="1:3" x14ac:dyDescent="0.25">
      <c r="A89" s="2" t="s">
        <v>31</v>
      </c>
      <c r="B89" t="s">
        <v>52</v>
      </c>
      <c r="C89" s="13">
        <v>0.221</v>
      </c>
    </row>
    <row r="90" spans="1:3" x14ac:dyDescent="0.25">
      <c r="A90" s="2" t="s">
        <v>32</v>
      </c>
      <c r="B90" t="s">
        <v>52</v>
      </c>
      <c r="C90" s="13">
        <v>0.22</v>
      </c>
    </row>
    <row r="91" spans="1:3" x14ac:dyDescent="0.25">
      <c r="A91" s="2" t="s">
        <v>33</v>
      </c>
      <c r="B91" t="s">
        <v>52</v>
      </c>
      <c r="C91" s="13">
        <v>0.152</v>
      </c>
    </row>
    <row r="92" spans="1:3" x14ac:dyDescent="0.25">
      <c r="A92" s="2" t="s">
        <v>34</v>
      </c>
      <c r="B92" t="s">
        <v>52</v>
      </c>
      <c r="C92" s="13">
        <v>0.12</v>
      </c>
    </row>
    <row r="93" spans="1:3" x14ac:dyDescent="0.25">
      <c r="A93" s="2" t="s">
        <v>35</v>
      </c>
      <c r="B93" t="s">
        <v>52</v>
      </c>
      <c r="C93" s="13">
        <v>0.14899999999999999</v>
      </c>
    </row>
    <row r="94" spans="1:3" x14ac:dyDescent="0.25">
      <c r="A94" s="2" t="s">
        <v>36</v>
      </c>
      <c r="B94" t="s">
        <v>52</v>
      </c>
      <c r="C94" s="13">
        <v>0.20599999999999999</v>
      </c>
    </row>
    <row r="95" spans="1:3" x14ac:dyDescent="0.25">
      <c r="A95" s="2" t="s">
        <v>37</v>
      </c>
      <c r="B95" t="s">
        <v>52</v>
      </c>
      <c r="C95" s="13">
        <v>0.17</v>
      </c>
    </row>
    <row r="96" spans="1:3" x14ac:dyDescent="0.25">
      <c r="A96" s="2" t="s">
        <v>38</v>
      </c>
      <c r="B96" t="s">
        <v>52</v>
      </c>
      <c r="C96" s="13">
        <v>0.23300000000000001</v>
      </c>
    </row>
    <row r="97" spans="1:3" x14ac:dyDescent="0.25">
      <c r="A97" s="2" t="s">
        <v>39</v>
      </c>
      <c r="B97" t="s">
        <v>52</v>
      </c>
      <c r="C97" s="13">
        <v>0.26100000000000001</v>
      </c>
    </row>
    <row r="98" spans="1:3" x14ac:dyDescent="0.25">
      <c r="A98" s="2" t="s">
        <v>40</v>
      </c>
      <c r="B98" t="s">
        <v>52</v>
      </c>
      <c r="C98" s="13">
        <v>0.13800000000000001</v>
      </c>
    </row>
    <row r="99" spans="1:3" x14ac:dyDescent="0.25">
      <c r="A99" s="2" t="s">
        <v>41</v>
      </c>
      <c r="B99" t="s">
        <v>52</v>
      </c>
      <c r="C99" s="13">
        <v>0.16800000000000001</v>
      </c>
    </row>
    <row r="100" spans="1:3" x14ac:dyDescent="0.25">
      <c r="A100" s="2" t="s">
        <v>42</v>
      </c>
      <c r="B100" t="s">
        <v>52</v>
      </c>
      <c r="C100" s="13">
        <v>0.186</v>
      </c>
    </row>
    <row r="101" spans="1:3" x14ac:dyDescent="0.25">
      <c r="A101" s="2" t="s">
        <v>43</v>
      </c>
      <c r="B101" t="s">
        <v>52</v>
      </c>
      <c r="C101" s="13">
        <v>0.158</v>
      </c>
    </row>
    <row r="102" spans="1:3" x14ac:dyDescent="0.25">
      <c r="A102" s="2" t="s">
        <v>44</v>
      </c>
      <c r="B102" t="s">
        <v>52</v>
      </c>
      <c r="C102" s="13">
        <v>0.10299999999999999</v>
      </c>
    </row>
    <row r="103" spans="1:3" x14ac:dyDescent="0.25">
      <c r="A103" s="2" t="s">
        <v>45</v>
      </c>
      <c r="B103" t="s">
        <v>52</v>
      </c>
      <c r="C103" s="13">
        <v>0.17100000000000001</v>
      </c>
    </row>
    <row r="104" spans="1:3" x14ac:dyDescent="0.25">
      <c r="A104" s="2" t="s">
        <v>46</v>
      </c>
      <c r="B104" t="s">
        <v>52</v>
      </c>
      <c r="C104" s="13">
        <v>0.17899999999999999</v>
      </c>
    </row>
    <row r="105" spans="1:3" x14ac:dyDescent="0.25">
      <c r="A105" s="2" t="s">
        <v>47</v>
      </c>
      <c r="B105" t="s">
        <v>52</v>
      </c>
      <c r="C105" s="13">
        <v>0.17199999999999999</v>
      </c>
    </row>
    <row r="106" spans="1:3" x14ac:dyDescent="0.25">
      <c r="A106" s="2" t="s">
        <v>48</v>
      </c>
      <c r="B106" t="s">
        <v>52</v>
      </c>
      <c r="C106" s="13">
        <v>0.222</v>
      </c>
    </row>
    <row r="107" spans="1:3" x14ac:dyDescent="0.25">
      <c r="A107" s="9" t="s">
        <v>49</v>
      </c>
      <c r="B107" s="10" t="s">
        <v>52</v>
      </c>
      <c r="C107" s="14">
        <v>7.0999999999999994E-2</v>
      </c>
    </row>
    <row r="109" spans="1:3" x14ac:dyDescent="0.25">
      <c r="A109" t="s">
        <v>54</v>
      </c>
    </row>
    <row r="111" spans="1:3" x14ac:dyDescent="0.25">
      <c r="A111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C11"/>
  <sheetViews>
    <sheetView workbookViewId="0"/>
  </sheetViews>
  <sheetFormatPr defaultColWidth="11.42578125" defaultRowHeight="15" x14ac:dyDescent="0.25"/>
  <cols>
    <col min="1" max="1" width="27.7109375" customWidth="1"/>
    <col min="2" max="2" width="26.7109375" customWidth="1"/>
    <col min="3" max="3" width="41.7109375" customWidth="1"/>
  </cols>
  <sheetData>
    <row r="1" spans="1:3" x14ac:dyDescent="0.25">
      <c r="A1" t="s">
        <v>329</v>
      </c>
    </row>
    <row r="3" spans="1:3" x14ac:dyDescent="0.25">
      <c r="A3" s="7" t="s">
        <v>104</v>
      </c>
      <c r="B3" s="6" t="s">
        <v>297</v>
      </c>
      <c r="C3" s="8" t="s">
        <v>106</v>
      </c>
    </row>
    <row r="4" spans="1:3" x14ac:dyDescent="0.25">
      <c r="A4" s="84">
        <v>23.97</v>
      </c>
      <c r="B4" s="83">
        <v>24.9</v>
      </c>
      <c r="C4" s="23">
        <v>517.12</v>
      </c>
    </row>
    <row r="6" spans="1:3" x14ac:dyDescent="0.25">
      <c r="A6" t="s">
        <v>108</v>
      </c>
    </row>
    <row r="8" spans="1:3" x14ac:dyDescent="0.25">
      <c r="A8" t="s">
        <v>331</v>
      </c>
    </row>
    <row r="9" spans="1:3" x14ac:dyDescent="0.25">
      <c r="A9" t="s">
        <v>110</v>
      </c>
    </row>
    <row r="11" spans="1:3" x14ac:dyDescent="0.25">
      <c r="A11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E11"/>
  <sheetViews>
    <sheetView workbookViewId="0"/>
  </sheetViews>
  <sheetFormatPr defaultColWidth="11.42578125" defaultRowHeight="15" x14ac:dyDescent="0.25"/>
  <cols>
    <col min="1" max="1" width="15.7109375" customWidth="1"/>
    <col min="2" max="2" width="18.7109375" customWidth="1"/>
    <col min="3" max="3" width="30.7109375" customWidth="1"/>
    <col min="4" max="4" width="45.7109375" customWidth="1"/>
    <col min="5" max="5" width="34.7109375" customWidth="1"/>
  </cols>
  <sheetData>
    <row r="1" spans="1:5" x14ac:dyDescent="0.25">
      <c r="A1" t="s">
        <v>332</v>
      </c>
    </row>
    <row r="3" spans="1:5" x14ac:dyDescent="0.25">
      <c r="A3" s="7" t="s">
        <v>314</v>
      </c>
      <c r="B3" s="6" t="s">
        <v>138</v>
      </c>
      <c r="C3" s="6" t="s">
        <v>333</v>
      </c>
      <c r="D3" s="6" t="s">
        <v>334</v>
      </c>
      <c r="E3" s="8" t="s">
        <v>335</v>
      </c>
    </row>
    <row r="4" spans="1:5" x14ac:dyDescent="0.25">
      <c r="A4" s="2" t="s">
        <v>80</v>
      </c>
      <c r="B4" s="85">
        <v>54</v>
      </c>
      <c r="C4" s="86">
        <v>0.20399999999999999</v>
      </c>
      <c r="D4" s="86">
        <v>0.57399999999999995</v>
      </c>
      <c r="E4" s="87">
        <v>0.42599999999999999</v>
      </c>
    </row>
    <row r="5" spans="1:5" x14ac:dyDescent="0.25">
      <c r="A5" s="2" t="s">
        <v>336</v>
      </c>
      <c r="B5" s="85">
        <v>4004</v>
      </c>
      <c r="C5" s="86">
        <v>0.20300000000000001</v>
      </c>
      <c r="D5" s="86">
        <v>0.74099999999999999</v>
      </c>
      <c r="E5" s="87">
        <v>0.58699999999999997</v>
      </c>
    </row>
    <row r="6" spans="1:5" x14ac:dyDescent="0.25">
      <c r="A6" s="2" t="s">
        <v>78</v>
      </c>
      <c r="B6" s="85">
        <v>13883</v>
      </c>
      <c r="C6" s="86">
        <v>0.25900000000000001</v>
      </c>
      <c r="D6" s="86">
        <v>0.80200000000000005</v>
      </c>
      <c r="E6" s="87">
        <v>0.63400000000000001</v>
      </c>
    </row>
    <row r="7" spans="1:5" x14ac:dyDescent="0.25">
      <c r="A7" s="9" t="s">
        <v>77</v>
      </c>
      <c r="B7" s="88">
        <v>22661</v>
      </c>
      <c r="C7" s="89">
        <v>0.37</v>
      </c>
      <c r="D7" s="89">
        <v>0.878</v>
      </c>
      <c r="E7" s="90">
        <v>0.65200000000000002</v>
      </c>
    </row>
    <row r="9" spans="1:5" x14ac:dyDescent="0.25">
      <c r="A9" t="s">
        <v>108</v>
      </c>
    </row>
    <row r="11" spans="1:5" x14ac:dyDescent="0.25">
      <c r="A11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D18"/>
  <sheetViews>
    <sheetView workbookViewId="0"/>
  </sheetViews>
  <sheetFormatPr defaultColWidth="11.42578125" defaultRowHeight="15" x14ac:dyDescent="0.25"/>
  <cols>
    <col min="1" max="1" width="6.7109375" customWidth="1"/>
    <col min="2" max="2" width="41.7109375" customWidth="1"/>
    <col min="3" max="3" width="40.7109375" customWidth="1"/>
    <col min="4" max="4" width="42.7109375" customWidth="1"/>
  </cols>
  <sheetData>
    <row r="1" spans="1:4" x14ac:dyDescent="0.25">
      <c r="A1" t="s">
        <v>338</v>
      </c>
    </row>
    <row r="3" spans="1:4" x14ac:dyDescent="0.25">
      <c r="A3" s="7" t="s">
        <v>21</v>
      </c>
      <c r="B3" s="6" t="s">
        <v>236</v>
      </c>
      <c r="C3" s="6" t="s">
        <v>237</v>
      </c>
      <c r="D3" s="8" t="s">
        <v>238</v>
      </c>
    </row>
    <row r="4" spans="1:4" x14ac:dyDescent="0.25">
      <c r="A4" s="2">
        <v>2024</v>
      </c>
      <c r="B4" s="91">
        <v>2413.88</v>
      </c>
      <c r="C4" s="91">
        <v>123.01</v>
      </c>
      <c r="D4" s="4">
        <v>19.62</v>
      </c>
    </row>
    <row r="5" spans="1:4" x14ac:dyDescent="0.25">
      <c r="A5" s="2">
        <v>2023</v>
      </c>
      <c r="B5" s="91">
        <v>2362.5300000000002</v>
      </c>
      <c r="C5" s="91">
        <v>120.67</v>
      </c>
      <c r="D5" s="4">
        <v>19.579999999999998</v>
      </c>
    </row>
    <row r="6" spans="1:4" x14ac:dyDescent="0.25">
      <c r="A6" s="2">
        <v>2022</v>
      </c>
      <c r="B6" s="91">
        <v>2254.0300000000002</v>
      </c>
      <c r="C6" s="91">
        <v>117.83</v>
      </c>
      <c r="D6" s="4">
        <v>19.13</v>
      </c>
    </row>
    <row r="7" spans="1:4" x14ac:dyDescent="0.25">
      <c r="A7" s="2">
        <v>2021</v>
      </c>
      <c r="B7" s="91">
        <v>2151.0700000000002</v>
      </c>
      <c r="C7" s="91">
        <v>115.06</v>
      </c>
      <c r="D7" s="4">
        <v>18.7</v>
      </c>
    </row>
    <row r="8" spans="1:4" x14ac:dyDescent="0.25">
      <c r="A8" s="2">
        <v>2020</v>
      </c>
      <c r="B8" s="91">
        <v>2239.85</v>
      </c>
      <c r="C8" s="91">
        <v>122.19</v>
      </c>
      <c r="D8" s="4">
        <v>18.329999999999998</v>
      </c>
    </row>
    <row r="9" spans="1:4" x14ac:dyDescent="0.25">
      <c r="A9" s="2">
        <v>2019</v>
      </c>
      <c r="B9" s="91">
        <v>2158.85</v>
      </c>
      <c r="C9" s="91">
        <v>120.26</v>
      </c>
      <c r="D9" s="4">
        <v>17.95</v>
      </c>
    </row>
    <row r="10" spans="1:4" x14ac:dyDescent="0.25">
      <c r="A10" s="2">
        <v>2018</v>
      </c>
      <c r="B10" s="91">
        <v>2121.9299999999998</v>
      </c>
      <c r="C10" s="91">
        <v>118.21</v>
      </c>
      <c r="D10" s="4">
        <v>17.95</v>
      </c>
    </row>
    <row r="11" spans="1:4" x14ac:dyDescent="0.25">
      <c r="A11" s="2">
        <v>2017</v>
      </c>
      <c r="B11" s="91">
        <v>2153.29</v>
      </c>
      <c r="C11" s="91">
        <v>123.33</v>
      </c>
      <c r="D11" s="4">
        <v>17.46</v>
      </c>
    </row>
    <row r="12" spans="1:4" x14ac:dyDescent="0.25">
      <c r="A12" s="2">
        <v>2016</v>
      </c>
      <c r="B12" s="91">
        <v>2041.02</v>
      </c>
      <c r="C12" s="91">
        <v>120.7</v>
      </c>
      <c r="D12" s="4">
        <v>16.91</v>
      </c>
    </row>
    <row r="13" spans="1:4" x14ac:dyDescent="0.25">
      <c r="A13" s="2">
        <v>2015</v>
      </c>
      <c r="B13" s="91">
        <v>1841.3</v>
      </c>
      <c r="C13" s="91">
        <v>111.25</v>
      </c>
      <c r="D13" s="4">
        <v>16.55</v>
      </c>
    </row>
    <row r="14" spans="1:4" x14ac:dyDescent="0.25">
      <c r="A14" s="9">
        <v>2014</v>
      </c>
      <c r="B14" s="92">
        <v>1719.39</v>
      </c>
      <c r="C14" s="92">
        <v>105.5</v>
      </c>
      <c r="D14" s="5">
        <v>16.3</v>
      </c>
    </row>
    <row r="16" spans="1:4" x14ac:dyDescent="0.25">
      <c r="A16" t="s">
        <v>227</v>
      </c>
    </row>
    <row r="18" spans="1:1" x14ac:dyDescent="0.25">
      <c r="A18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D22"/>
  <sheetViews>
    <sheetView workbookViewId="0"/>
  </sheetViews>
  <sheetFormatPr defaultColWidth="11.42578125" defaultRowHeight="15" x14ac:dyDescent="0.25"/>
  <cols>
    <col min="1" max="1" width="6.7109375" customWidth="1"/>
    <col min="2" max="2" width="27.7109375" customWidth="1"/>
    <col min="3" max="3" width="32.7109375" customWidth="1"/>
    <col min="4" max="4" width="41.7109375" customWidth="1"/>
  </cols>
  <sheetData>
    <row r="1" spans="1:4" x14ac:dyDescent="0.25">
      <c r="A1" t="s">
        <v>340</v>
      </c>
    </row>
    <row r="3" spans="1:4" x14ac:dyDescent="0.25">
      <c r="A3" s="7" t="s">
        <v>21</v>
      </c>
      <c r="B3" s="6" t="s">
        <v>104</v>
      </c>
      <c r="C3" s="6" t="s">
        <v>105</v>
      </c>
      <c r="D3" s="8" t="s">
        <v>106</v>
      </c>
    </row>
    <row r="4" spans="1:4" x14ac:dyDescent="0.25">
      <c r="A4" s="2">
        <v>2024</v>
      </c>
      <c r="B4" s="93">
        <v>75.400000000000006</v>
      </c>
      <c r="C4" s="93">
        <v>11.4</v>
      </c>
      <c r="D4" s="21">
        <v>112.4</v>
      </c>
    </row>
    <row r="5" spans="1:4" x14ac:dyDescent="0.25">
      <c r="A5" s="2">
        <v>2023</v>
      </c>
      <c r="B5" s="93">
        <v>63.7</v>
      </c>
      <c r="C5" s="93">
        <v>9.3000000000000007</v>
      </c>
      <c r="D5" s="21">
        <v>75.900000000000006</v>
      </c>
    </row>
    <row r="6" spans="1:4" x14ac:dyDescent="0.25">
      <c r="A6" s="2">
        <v>2022</v>
      </c>
      <c r="B6" s="93">
        <v>52.6</v>
      </c>
      <c r="C6" s="93">
        <v>7.8</v>
      </c>
      <c r="D6" s="21">
        <v>52.7</v>
      </c>
    </row>
    <row r="7" spans="1:4" x14ac:dyDescent="0.25">
      <c r="A7" s="2">
        <v>2021</v>
      </c>
      <c r="B7" s="93">
        <v>42.6</v>
      </c>
      <c r="C7" s="93">
        <v>5.4</v>
      </c>
      <c r="D7" s="21">
        <v>28.2</v>
      </c>
    </row>
    <row r="8" spans="1:4" x14ac:dyDescent="0.25">
      <c r="A8" s="2">
        <v>2020</v>
      </c>
      <c r="B8" s="93">
        <v>30.1</v>
      </c>
      <c r="C8" s="93">
        <v>5.5</v>
      </c>
      <c r="D8" s="21">
        <v>26.9</v>
      </c>
    </row>
    <row r="9" spans="1:4" x14ac:dyDescent="0.25">
      <c r="A9" s="2">
        <v>2019</v>
      </c>
      <c r="B9" s="93">
        <v>37.5</v>
      </c>
      <c r="C9" s="93">
        <v>8.5</v>
      </c>
      <c r="D9" s="21">
        <v>36.9</v>
      </c>
    </row>
    <row r="10" spans="1:4" x14ac:dyDescent="0.25">
      <c r="A10" s="2">
        <v>2018</v>
      </c>
      <c r="B10" s="93">
        <v>32.700000000000003</v>
      </c>
      <c r="C10" s="93">
        <v>8</v>
      </c>
      <c r="D10" s="21">
        <v>30.9</v>
      </c>
    </row>
    <row r="11" spans="1:4" x14ac:dyDescent="0.25">
      <c r="A11" s="2">
        <v>2017</v>
      </c>
      <c r="B11" s="93">
        <v>28.5</v>
      </c>
      <c r="C11" s="93">
        <v>7.1</v>
      </c>
      <c r="D11" s="21">
        <v>25.8</v>
      </c>
    </row>
    <row r="12" spans="1:4" x14ac:dyDescent="0.25">
      <c r="A12" s="2">
        <v>2016</v>
      </c>
      <c r="B12" s="93">
        <v>26.3</v>
      </c>
      <c r="C12" s="93">
        <v>7.2</v>
      </c>
      <c r="D12" s="21">
        <v>25.9</v>
      </c>
    </row>
    <row r="13" spans="1:4" x14ac:dyDescent="0.25">
      <c r="A13" s="2">
        <v>2015</v>
      </c>
      <c r="B13" s="93">
        <v>22.8</v>
      </c>
      <c r="C13" s="93">
        <v>6.3</v>
      </c>
      <c r="D13" s="21">
        <v>22.2</v>
      </c>
    </row>
    <row r="14" spans="1:4" x14ac:dyDescent="0.25">
      <c r="A14" s="9">
        <v>2014</v>
      </c>
      <c r="B14" s="94">
        <v>19.600000000000001</v>
      </c>
      <c r="C14" s="94">
        <v>5.7</v>
      </c>
      <c r="D14" s="23">
        <v>19.3</v>
      </c>
    </row>
    <row r="16" spans="1:4" x14ac:dyDescent="0.25">
      <c r="A16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2" spans="1:1" x14ac:dyDescent="0.25">
      <c r="A22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D22"/>
  <sheetViews>
    <sheetView workbookViewId="0"/>
  </sheetViews>
  <sheetFormatPr defaultColWidth="11.42578125" defaultRowHeight="15" x14ac:dyDescent="0.25"/>
  <cols>
    <col min="1" max="1" width="6.7109375" customWidth="1"/>
    <col min="2" max="3" width="49.7109375" customWidth="1"/>
    <col min="4" max="4" width="38.7109375" customWidth="1"/>
  </cols>
  <sheetData>
    <row r="1" spans="1:4" x14ac:dyDescent="0.25">
      <c r="A1" t="s">
        <v>342</v>
      </c>
    </row>
    <row r="3" spans="1:4" x14ac:dyDescent="0.25">
      <c r="A3" s="7" t="s">
        <v>21</v>
      </c>
      <c r="B3" s="6" t="s">
        <v>248</v>
      </c>
      <c r="C3" s="6" t="s">
        <v>249</v>
      </c>
      <c r="D3" s="8" t="s">
        <v>250</v>
      </c>
    </row>
    <row r="4" spans="1:4" x14ac:dyDescent="0.25">
      <c r="A4" s="2">
        <v>2024</v>
      </c>
      <c r="B4">
        <v>88.86</v>
      </c>
      <c r="C4">
        <v>90.63</v>
      </c>
      <c r="D4" s="4">
        <v>89.88</v>
      </c>
    </row>
    <row r="5" spans="1:4" x14ac:dyDescent="0.25">
      <c r="A5" s="2">
        <v>2023</v>
      </c>
      <c r="B5">
        <v>60.22</v>
      </c>
      <c r="C5">
        <v>61.24</v>
      </c>
      <c r="D5" s="4">
        <v>60.76</v>
      </c>
    </row>
    <row r="6" spans="1:4" x14ac:dyDescent="0.25">
      <c r="A6" s="2">
        <v>2022</v>
      </c>
      <c r="B6">
        <v>41.71</v>
      </c>
      <c r="C6">
        <v>42.57</v>
      </c>
      <c r="D6" s="4">
        <v>42.14</v>
      </c>
    </row>
    <row r="7" spans="1:4" x14ac:dyDescent="0.25">
      <c r="A7" s="2">
        <v>2021</v>
      </c>
      <c r="B7">
        <v>22.35</v>
      </c>
      <c r="C7">
        <v>22.82</v>
      </c>
      <c r="D7" s="4">
        <v>22.6</v>
      </c>
    </row>
    <row r="8" spans="1:4" x14ac:dyDescent="0.25">
      <c r="A8" s="2">
        <v>2020</v>
      </c>
      <c r="B8">
        <v>21.27</v>
      </c>
      <c r="C8">
        <v>21.77</v>
      </c>
      <c r="D8" s="4">
        <v>21.53</v>
      </c>
    </row>
    <row r="9" spans="1:4" x14ac:dyDescent="0.25">
      <c r="A9" s="2">
        <v>2019</v>
      </c>
      <c r="B9">
        <v>29.23</v>
      </c>
      <c r="C9">
        <v>29.81</v>
      </c>
      <c r="D9" s="4">
        <v>29.5</v>
      </c>
    </row>
    <row r="10" spans="1:4" x14ac:dyDescent="0.25">
      <c r="A10" s="2">
        <v>2018</v>
      </c>
      <c r="B10">
        <v>24.52</v>
      </c>
      <c r="C10">
        <v>24.93</v>
      </c>
      <c r="D10" s="4">
        <v>24.73</v>
      </c>
    </row>
    <row r="11" spans="1:4" x14ac:dyDescent="0.25">
      <c r="A11" s="2">
        <v>2017</v>
      </c>
      <c r="B11">
        <v>20.43</v>
      </c>
      <c r="C11">
        <v>20.8</v>
      </c>
      <c r="D11" s="4">
        <v>20.62</v>
      </c>
    </row>
    <row r="12" spans="1:4" x14ac:dyDescent="0.25">
      <c r="A12" s="2">
        <v>2016</v>
      </c>
      <c r="B12">
        <v>20.49</v>
      </c>
      <c r="C12">
        <v>20.89</v>
      </c>
      <c r="D12" s="4">
        <v>20.7</v>
      </c>
    </row>
    <row r="13" spans="1:4" x14ac:dyDescent="0.25">
      <c r="A13" s="2">
        <v>2015</v>
      </c>
      <c r="B13">
        <v>17.579999999999998</v>
      </c>
      <c r="C13">
        <v>17.920000000000002</v>
      </c>
      <c r="D13" s="4">
        <v>17.77</v>
      </c>
    </row>
    <row r="14" spans="1:4" x14ac:dyDescent="0.25">
      <c r="A14" s="9">
        <v>2014</v>
      </c>
      <c r="B14" s="10">
        <v>15.29</v>
      </c>
      <c r="C14" s="10">
        <v>15.6</v>
      </c>
      <c r="D14" s="5">
        <v>15.44</v>
      </c>
    </row>
    <row r="16" spans="1:4" x14ac:dyDescent="0.25">
      <c r="A16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2" spans="1:1" x14ac:dyDescent="0.25">
      <c r="A22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17"/>
  <sheetViews>
    <sheetView workbookViewId="0"/>
  </sheetViews>
  <sheetFormatPr defaultColWidth="11.42578125" defaultRowHeight="15" x14ac:dyDescent="0.25"/>
  <cols>
    <col min="1" max="1" width="51.7109375" customWidth="1"/>
    <col min="2" max="2" width="43.7109375" customWidth="1"/>
    <col min="3" max="3" width="58.7109375" customWidth="1"/>
    <col min="4" max="4" width="124.7109375" customWidth="1"/>
    <col min="5" max="6" width="87.7109375" customWidth="1"/>
  </cols>
  <sheetData>
    <row r="1" spans="1:6" x14ac:dyDescent="0.25">
      <c r="A1" t="s">
        <v>344</v>
      </c>
    </row>
    <row r="3" spans="1:6" x14ac:dyDescent="0.25">
      <c r="A3" s="7" t="s">
        <v>345</v>
      </c>
      <c r="B3" s="6" t="s">
        <v>346</v>
      </c>
      <c r="C3" s="6" t="s">
        <v>347</v>
      </c>
      <c r="D3" s="6" t="s">
        <v>348</v>
      </c>
      <c r="E3" s="6" t="s">
        <v>349</v>
      </c>
      <c r="F3" s="8" t="s">
        <v>350</v>
      </c>
    </row>
    <row r="4" spans="1:6" x14ac:dyDescent="0.25">
      <c r="A4" s="2" t="s">
        <v>351</v>
      </c>
      <c r="B4" s="40">
        <v>3743</v>
      </c>
      <c r="C4" s="118">
        <v>1.78</v>
      </c>
      <c r="D4" s="40">
        <v>1848.7</v>
      </c>
      <c r="E4">
        <v>1844.8</v>
      </c>
      <c r="F4" s="4">
        <v>1852.3</v>
      </c>
    </row>
    <row r="5" spans="1:6" x14ac:dyDescent="0.25">
      <c r="A5" s="2" t="s">
        <v>352</v>
      </c>
      <c r="B5" s="40">
        <v>3074</v>
      </c>
      <c r="C5" s="118">
        <v>7.11</v>
      </c>
      <c r="D5" s="40">
        <v>2166.8000000000002</v>
      </c>
      <c r="E5">
        <v>2164.8000000000002</v>
      </c>
      <c r="F5" s="4">
        <v>2168.6999999999998</v>
      </c>
    </row>
    <row r="6" spans="1:6" x14ac:dyDescent="0.25">
      <c r="A6" s="2" t="s">
        <v>353</v>
      </c>
      <c r="B6" s="40">
        <v>882</v>
      </c>
      <c r="C6" s="118">
        <v>2.31</v>
      </c>
      <c r="D6" s="40">
        <v>299.89999999999998</v>
      </c>
      <c r="E6">
        <v>298.2</v>
      </c>
      <c r="F6" s="4">
        <v>301.5</v>
      </c>
    </row>
    <row r="7" spans="1:6" x14ac:dyDescent="0.25">
      <c r="A7" s="2" t="s">
        <v>354</v>
      </c>
      <c r="B7" s="40">
        <v>844</v>
      </c>
      <c r="C7" s="118">
        <v>0.02</v>
      </c>
      <c r="D7" s="40">
        <v>517.1</v>
      </c>
      <c r="F7" s="4"/>
    </row>
    <row r="8" spans="1:6" x14ac:dyDescent="0.25">
      <c r="A8" s="2" t="s">
        <v>355</v>
      </c>
      <c r="B8" s="40">
        <v>108</v>
      </c>
      <c r="C8" s="118">
        <v>0.06</v>
      </c>
      <c r="D8" s="40">
        <v>75.7</v>
      </c>
      <c r="E8">
        <v>75.599999999999994</v>
      </c>
      <c r="F8" s="4">
        <v>75.8</v>
      </c>
    </row>
    <row r="9" spans="1:6" x14ac:dyDescent="0.25">
      <c r="A9" s="9" t="s">
        <v>356</v>
      </c>
      <c r="B9" s="42">
        <v>112</v>
      </c>
      <c r="C9" s="119">
        <v>0.06</v>
      </c>
      <c r="D9" s="42">
        <v>89.9</v>
      </c>
      <c r="E9" s="10">
        <v>88.9</v>
      </c>
      <c r="F9" s="5">
        <v>90.6</v>
      </c>
    </row>
    <row r="11" spans="1:6" x14ac:dyDescent="0.25">
      <c r="A11" t="s">
        <v>108</v>
      </c>
    </row>
    <row r="13" spans="1:6" x14ac:dyDescent="0.25">
      <c r="A13" t="s">
        <v>358</v>
      </c>
    </row>
    <row r="14" spans="1:6" x14ac:dyDescent="0.25">
      <c r="A14" t="s">
        <v>270</v>
      </c>
    </row>
    <row r="15" spans="1:6" x14ac:dyDescent="0.25">
      <c r="A15" t="s">
        <v>110</v>
      </c>
    </row>
    <row r="17" spans="1:1" x14ac:dyDescent="0.25">
      <c r="A17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/>
  </sheetViews>
  <sheetFormatPr defaultColWidth="11.42578125" defaultRowHeight="15" x14ac:dyDescent="0.25"/>
  <cols>
    <col min="1" max="1" width="19.7109375" customWidth="1"/>
    <col min="2" max="4" width="6.7109375" customWidth="1"/>
  </cols>
  <sheetData>
    <row r="1" spans="1:4" x14ac:dyDescent="0.25">
      <c r="A1" t="s">
        <v>55</v>
      </c>
    </row>
    <row r="2" spans="1:4" ht="15.75" thickBot="1" x14ac:dyDescent="0.3"/>
    <row r="3" spans="1:4" x14ac:dyDescent="0.25">
      <c r="A3" s="105" t="s">
        <v>20</v>
      </c>
      <c r="B3" s="106" t="s">
        <v>58</v>
      </c>
      <c r="C3" s="107" t="s">
        <v>57</v>
      </c>
      <c r="D3" s="108" t="s">
        <v>56</v>
      </c>
    </row>
    <row r="4" spans="1:4" x14ac:dyDescent="0.25">
      <c r="A4" s="109" t="s">
        <v>59</v>
      </c>
      <c r="B4" s="103">
        <v>25.8</v>
      </c>
      <c r="C4" s="104">
        <v>26.7</v>
      </c>
      <c r="D4" s="110">
        <v>27.8</v>
      </c>
    </row>
    <row r="5" spans="1:4" x14ac:dyDescent="0.25">
      <c r="A5" s="109" t="s">
        <v>60</v>
      </c>
      <c r="B5" s="103">
        <v>25.9</v>
      </c>
      <c r="C5" s="104">
        <v>26.9</v>
      </c>
      <c r="D5" s="110">
        <v>27.4</v>
      </c>
    </row>
    <row r="6" spans="1:4" x14ac:dyDescent="0.25">
      <c r="A6" s="109" t="s">
        <v>23</v>
      </c>
      <c r="B6" s="103">
        <v>25</v>
      </c>
      <c r="C6" s="104">
        <v>25.6</v>
      </c>
      <c r="D6" s="110">
        <v>26</v>
      </c>
    </row>
    <row r="7" spans="1:4" x14ac:dyDescent="0.25">
      <c r="A7" s="109" t="s">
        <v>25</v>
      </c>
      <c r="B7" s="103">
        <v>25.7</v>
      </c>
      <c r="C7" s="104">
        <v>26.3</v>
      </c>
      <c r="D7" s="110">
        <v>26.7</v>
      </c>
    </row>
    <row r="8" spans="1:4" x14ac:dyDescent="0.25">
      <c r="A8" s="109" t="s">
        <v>61</v>
      </c>
      <c r="B8" s="103">
        <v>22.1</v>
      </c>
      <c r="C8" s="104">
        <v>22.9</v>
      </c>
      <c r="D8" s="110">
        <v>24</v>
      </c>
    </row>
    <row r="9" spans="1:4" x14ac:dyDescent="0.25">
      <c r="A9" s="109" t="s">
        <v>29</v>
      </c>
      <c r="B9" s="103">
        <v>26.8</v>
      </c>
      <c r="C9" s="104">
        <v>27.2</v>
      </c>
      <c r="D9" s="110">
        <v>27.9</v>
      </c>
    </row>
    <row r="10" spans="1:4" x14ac:dyDescent="0.25">
      <c r="A10" s="109" t="s">
        <v>32</v>
      </c>
      <c r="B10" s="103">
        <v>26</v>
      </c>
      <c r="C10" s="104">
        <v>26.5</v>
      </c>
      <c r="D10" s="110">
        <v>26.6</v>
      </c>
    </row>
    <row r="11" spans="1:4" x14ac:dyDescent="0.25">
      <c r="A11" s="109" t="s">
        <v>33</v>
      </c>
      <c r="B11" s="103">
        <v>25</v>
      </c>
      <c r="C11" s="104">
        <v>25.5</v>
      </c>
      <c r="D11" s="110">
        <v>25.6</v>
      </c>
    </row>
    <row r="12" spans="1:4" x14ac:dyDescent="0.25">
      <c r="A12" s="109" t="s">
        <v>35</v>
      </c>
      <c r="B12" s="103">
        <v>26.2</v>
      </c>
      <c r="C12" s="104">
        <v>26.6</v>
      </c>
      <c r="D12" s="110">
        <v>26.6</v>
      </c>
    </row>
    <row r="13" spans="1:4" x14ac:dyDescent="0.25">
      <c r="A13" s="109" t="s">
        <v>62</v>
      </c>
      <c r="B13" s="103">
        <v>20.3</v>
      </c>
      <c r="C13" s="104">
        <v>21</v>
      </c>
      <c r="D13" s="110">
        <v>21.8</v>
      </c>
    </row>
    <row r="14" spans="1:4" x14ac:dyDescent="0.25">
      <c r="A14" s="109" t="s">
        <v>63</v>
      </c>
      <c r="B14" s="103">
        <v>25.9</v>
      </c>
      <c r="C14" s="104">
        <v>27</v>
      </c>
      <c r="D14" s="110">
        <v>27.8</v>
      </c>
    </row>
    <row r="15" spans="1:4" x14ac:dyDescent="0.25">
      <c r="A15" s="109" t="s">
        <v>64</v>
      </c>
      <c r="B15" s="103">
        <v>22.6</v>
      </c>
      <c r="C15" s="104">
        <v>22.8</v>
      </c>
      <c r="D15" s="110">
        <v>22.8</v>
      </c>
    </row>
    <row r="16" spans="1:4" x14ac:dyDescent="0.25">
      <c r="A16" s="109" t="s">
        <v>65</v>
      </c>
      <c r="B16" s="103">
        <v>26.1</v>
      </c>
      <c r="C16" s="104">
        <v>26.9</v>
      </c>
      <c r="D16" s="110">
        <v>27.3</v>
      </c>
    </row>
    <row r="17" spans="1:4" x14ac:dyDescent="0.25">
      <c r="A17" s="109" t="s">
        <v>66</v>
      </c>
      <c r="B17" s="103">
        <v>25.9</v>
      </c>
      <c r="C17" s="104">
        <v>27.1</v>
      </c>
      <c r="D17" s="110">
        <v>27.9</v>
      </c>
    </row>
    <row r="18" spans="1:4" x14ac:dyDescent="0.25">
      <c r="A18" s="109" t="s">
        <v>67</v>
      </c>
      <c r="B18" s="103">
        <v>25.9</v>
      </c>
      <c r="C18" s="104">
        <v>26.7</v>
      </c>
      <c r="D18" s="110">
        <v>27.4</v>
      </c>
    </row>
    <row r="19" spans="1:4" x14ac:dyDescent="0.25">
      <c r="A19" s="109" t="s">
        <v>41</v>
      </c>
      <c r="B19" s="103">
        <v>25.5</v>
      </c>
      <c r="C19" s="104">
        <v>26.5</v>
      </c>
      <c r="D19" s="110">
        <v>27.1</v>
      </c>
    </row>
    <row r="20" spans="1:4" x14ac:dyDescent="0.25">
      <c r="A20" s="109" t="s">
        <v>42</v>
      </c>
      <c r="B20" s="103">
        <v>25.5</v>
      </c>
      <c r="C20" s="104">
        <v>26.1</v>
      </c>
      <c r="D20" s="110">
        <v>27.3</v>
      </c>
    </row>
    <row r="21" spans="1:4" x14ac:dyDescent="0.25">
      <c r="A21" s="109" t="s">
        <v>68</v>
      </c>
      <c r="B21" s="103">
        <v>27.1</v>
      </c>
      <c r="C21" s="104">
        <v>28.4</v>
      </c>
      <c r="D21" s="110">
        <v>29.1</v>
      </c>
    </row>
    <row r="22" spans="1:4" x14ac:dyDescent="0.25">
      <c r="A22" s="109" t="s">
        <v>69</v>
      </c>
      <c r="B22" s="103">
        <v>25</v>
      </c>
      <c r="C22" s="104">
        <v>25.4</v>
      </c>
      <c r="D22" s="110">
        <v>25.7</v>
      </c>
    </row>
    <row r="23" spans="1:4" x14ac:dyDescent="0.25">
      <c r="A23" s="109" t="s">
        <v>47</v>
      </c>
      <c r="B23" s="103">
        <v>25.1</v>
      </c>
      <c r="C23" s="104">
        <v>25.9</v>
      </c>
      <c r="D23" s="110">
        <v>26.4</v>
      </c>
    </row>
    <row r="24" spans="1:4" x14ac:dyDescent="0.25">
      <c r="A24" s="109" t="s">
        <v>70</v>
      </c>
      <c r="B24" s="103">
        <v>25.7</v>
      </c>
      <c r="C24" s="104">
        <v>26.3</v>
      </c>
      <c r="D24" s="110">
        <v>26.9</v>
      </c>
    </row>
    <row r="25" spans="1:4" x14ac:dyDescent="0.25">
      <c r="A25" s="109" t="s">
        <v>48</v>
      </c>
      <c r="B25" s="103">
        <v>26.1</v>
      </c>
      <c r="C25" s="104">
        <v>26.9</v>
      </c>
      <c r="D25" s="110">
        <v>27.9</v>
      </c>
    </row>
    <row r="26" spans="1:4" x14ac:dyDescent="0.25">
      <c r="A26" s="109" t="s">
        <v>71</v>
      </c>
      <c r="B26" s="103">
        <v>26</v>
      </c>
      <c r="C26" s="104">
        <v>27</v>
      </c>
      <c r="D26" s="110">
        <v>27.5</v>
      </c>
    </row>
    <row r="27" spans="1:4" ht="15.75" thickBot="1" x14ac:dyDescent="0.3">
      <c r="A27" s="111" t="s">
        <v>49</v>
      </c>
      <c r="B27" s="112">
        <v>25.5</v>
      </c>
      <c r="C27" s="112">
        <v>26.2</v>
      </c>
      <c r="D27" s="113">
        <v>26.3</v>
      </c>
    </row>
    <row r="29" spans="1:4" x14ac:dyDescent="0.25">
      <c r="A29" t="s">
        <v>73</v>
      </c>
    </row>
    <row r="31" spans="1:4" x14ac:dyDescent="0.25">
      <c r="A31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33"/>
  <sheetViews>
    <sheetView workbookViewId="0"/>
  </sheetViews>
  <sheetFormatPr defaultColWidth="11.42578125" defaultRowHeight="15" x14ac:dyDescent="0.25"/>
  <cols>
    <col min="1" max="1" width="18.7109375" customWidth="1"/>
    <col min="2" max="2" width="12.7109375" customWidth="1"/>
    <col min="3" max="3" width="35.7109375" customWidth="1"/>
  </cols>
  <sheetData>
    <row r="1" spans="1:3" x14ac:dyDescent="0.25">
      <c r="A1" t="s">
        <v>74</v>
      </c>
    </row>
    <row r="3" spans="1:3" x14ac:dyDescent="0.25">
      <c r="A3" s="7" t="s">
        <v>20</v>
      </c>
      <c r="B3" s="6" t="s">
        <v>75</v>
      </c>
      <c r="C3" s="8" t="s">
        <v>76</v>
      </c>
    </row>
    <row r="4" spans="1:3" x14ac:dyDescent="0.25">
      <c r="A4" s="2" t="s">
        <v>49</v>
      </c>
      <c r="B4" t="s">
        <v>77</v>
      </c>
      <c r="C4" s="15">
        <v>0.114</v>
      </c>
    </row>
    <row r="5" spans="1:3" x14ac:dyDescent="0.25">
      <c r="A5" s="2" t="s">
        <v>49</v>
      </c>
      <c r="B5" t="s">
        <v>78</v>
      </c>
      <c r="C5" s="15">
        <v>0.33300000000000002</v>
      </c>
    </row>
    <row r="6" spans="1:3" x14ac:dyDescent="0.25">
      <c r="A6" s="2" t="s">
        <v>49</v>
      </c>
      <c r="B6" t="s">
        <v>79</v>
      </c>
      <c r="C6" s="15">
        <v>0.51400000000000001</v>
      </c>
    </row>
    <row r="7" spans="1:3" x14ac:dyDescent="0.25">
      <c r="A7" s="2" t="s">
        <v>49</v>
      </c>
      <c r="B7" t="s">
        <v>80</v>
      </c>
      <c r="C7" s="15">
        <v>3.9E-2</v>
      </c>
    </row>
    <row r="8" spans="1:3" x14ac:dyDescent="0.25">
      <c r="A8" s="2" t="s">
        <v>48</v>
      </c>
      <c r="B8" t="s">
        <v>77</v>
      </c>
      <c r="C8" s="15">
        <v>0.23899999999999999</v>
      </c>
    </row>
    <row r="9" spans="1:3" x14ac:dyDescent="0.25">
      <c r="A9" s="2" t="s">
        <v>48</v>
      </c>
      <c r="B9" t="s">
        <v>78</v>
      </c>
      <c r="C9" s="15">
        <v>0.34499999999999997</v>
      </c>
    </row>
    <row r="10" spans="1:3" x14ac:dyDescent="0.25">
      <c r="A10" s="2" t="s">
        <v>48</v>
      </c>
      <c r="B10" t="s">
        <v>79</v>
      </c>
      <c r="C10" s="15">
        <v>0.38900000000000001</v>
      </c>
    </row>
    <row r="11" spans="1:3" x14ac:dyDescent="0.25">
      <c r="A11" s="2" t="s">
        <v>48</v>
      </c>
      <c r="B11" t="s">
        <v>80</v>
      </c>
      <c r="C11" s="15">
        <v>2.7E-2</v>
      </c>
    </row>
    <row r="12" spans="1:3" x14ac:dyDescent="0.25">
      <c r="A12" s="2" t="s">
        <v>81</v>
      </c>
      <c r="B12" t="s">
        <v>77</v>
      </c>
      <c r="C12" s="15">
        <v>0.16</v>
      </c>
    </row>
    <row r="13" spans="1:3" x14ac:dyDescent="0.25">
      <c r="A13" s="2" t="s">
        <v>81</v>
      </c>
      <c r="B13" t="s">
        <v>78</v>
      </c>
      <c r="C13" s="15">
        <v>0.35299999999999998</v>
      </c>
    </row>
    <row r="14" spans="1:3" x14ac:dyDescent="0.25">
      <c r="A14" s="2" t="s">
        <v>81</v>
      </c>
      <c r="B14" t="s">
        <v>79</v>
      </c>
      <c r="C14" s="15">
        <v>0.45800000000000002</v>
      </c>
    </row>
    <row r="15" spans="1:3" x14ac:dyDescent="0.25">
      <c r="A15" s="2" t="s">
        <v>81</v>
      </c>
      <c r="B15" t="s">
        <v>80</v>
      </c>
      <c r="C15" s="15">
        <v>2.9000000000000001E-2</v>
      </c>
    </row>
    <row r="16" spans="1:3" x14ac:dyDescent="0.25">
      <c r="A16" s="2" t="s">
        <v>82</v>
      </c>
      <c r="B16" t="s">
        <v>77</v>
      </c>
      <c r="C16" s="15">
        <v>0.21099999999999999</v>
      </c>
    </row>
    <row r="17" spans="1:3" x14ac:dyDescent="0.25">
      <c r="A17" s="2" t="s">
        <v>82</v>
      </c>
      <c r="B17" t="s">
        <v>78</v>
      </c>
      <c r="C17" s="15">
        <v>0.35</v>
      </c>
    </row>
    <row r="18" spans="1:3" x14ac:dyDescent="0.25">
      <c r="A18" s="2" t="s">
        <v>82</v>
      </c>
      <c r="B18" t="s">
        <v>79</v>
      </c>
      <c r="C18" s="15">
        <v>0.40100000000000002</v>
      </c>
    </row>
    <row r="19" spans="1:3" x14ac:dyDescent="0.25">
      <c r="A19" s="2" t="s">
        <v>82</v>
      </c>
      <c r="B19" t="s">
        <v>80</v>
      </c>
      <c r="C19" s="15">
        <v>3.7999999999999999E-2</v>
      </c>
    </row>
    <row r="20" spans="1:3" x14ac:dyDescent="0.25">
      <c r="A20" s="2" t="s">
        <v>47</v>
      </c>
      <c r="B20" t="s">
        <v>77</v>
      </c>
      <c r="C20" s="15">
        <v>0.14699999999999999</v>
      </c>
    </row>
    <row r="21" spans="1:3" x14ac:dyDescent="0.25">
      <c r="A21" s="2" t="s">
        <v>47</v>
      </c>
      <c r="B21" t="s">
        <v>78</v>
      </c>
      <c r="C21" s="15">
        <v>0.34899999999999998</v>
      </c>
    </row>
    <row r="22" spans="1:3" x14ac:dyDescent="0.25">
      <c r="A22" s="2" t="s">
        <v>47</v>
      </c>
      <c r="B22" t="s">
        <v>79</v>
      </c>
      <c r="C22" s="15">
        <v>0.48</v>
      </c>
    </row>
    <row r="23" spans="1:3" x14ac:dyDescent="0.25">
      <c r="A23" s="2" t="s">
        <v>47</v>
      </c>
      <c r="B23" t="s">
        <v>80</v>
      </c>
      <c r="C23" s="15">
        <v>2.4E-2</v>
      </c>
    </row>
    <row r="24" spans="1:3" x14ac:dyDescent="0.25">
      <c r="A24" s="2" t="s">
        <v>46</v>
      </c>
      <c r="B24" t="s">
        <v>77</v>
      </c>
      <c r="C24" s="15">
        <v>0.19400000000000001</v>
      </c>
    </row>
    <row r="25" spans="1:3" x14ac:dyDescent="0.25">
      <c r="A25" s="2" t="s">
        <v>46</v>
      </c>
      <c r="B25" t="s">
        <v>78</v>
      </c>
      <c r="C25" s="15">
        <v>0.372</v>
      </c>
    </row>
    <row r="26" spans="1:3" x14ac:dyDescent="0.25">
      <c r="A26" s="2" t="s">
        <v>46</v>
      </c>
      <c r="B26" t="s">
        <v>79</v>
      </c>
      <c r="C26" s="15">
        <v>0.41799999999999998</v>
      </c>
    </row>
    <row r="27" spans="1:3" x14ac:dyDescent="0.25">
      <c r="A27" s="2" t="s">
        <v>46</v>
      </c>
      <c r="B27" t="s">
        <v>80</v>
      </c>
      <c r="C27" s="15">
        <v>1.6E-2</v>
      </c>
    </row>
    <row r="28" spans="1:3" x14ac:dyDescent="0.25">
      <c r="A28" s="2" t="s">
        <v>45</v>
      </c>
      <c r="B28" t="s">
        <v>77</v>
      </c>
      <c r="C28" s="15">
        <v>0.193</v>
      </c>
    </row>
    <row r="29" spans="1:3" x14ac:dyDescent="0.25">
      <c r="A29" s="2" t="s">
        <v>45</v>
      </c>
      <c r="B29" t="s">
        <v>78</v>
      </c>
      <c r="C29" s="15">
        <v>0.38500000000000001</v>
      </c>
    </row>
    <row r="30" spans="1:3" x14ac:dyDescent="0.25">
      <c r="A30" s="2" t="s">
        <v>45</v>
      </c>
      <c r="B30" t="s">
        <v>79</v>
      </c>
      <c r="C30" s="15">
        <v>0.4</v>
      </c>
    </row>
    <row r="31" spans="1:3" x14ac:dyDescent="0.25">
      <c r="A31" s="2" t="s">
        <v>45</v>
      </c>
      <c r="B31" t="s">
        <v>80</v>
      </c>
      <c r="C31" s="15">
        <v>2.1999999999999999E-2</v>
      </c>
    </row>
    <row r="32" spans="1:3" x14ac:dyDescent="0.25">
      <c r="A32" s="2" t="s">
        <v>83</v>
      </c>
      <c r="B32" t="s">
        <v>77</v>
      </c>
      <c r="C32" s="15">
        <v>0.16800000000000001</v>
      </c>
    </row>
    <row r="33" spans="1:3" x14ac:dyDescent="0.25">
      <c r="A33" s="2" t="s">
        <v>83</v>
      </c>
      <c r="B33" t="s">
        <v>78</v>
      </c>
      <c r="C33" s="15">
        <v>0.35699999999999998</v>
      </c>
    </row>
    <row r="34" spans="1:3" x14ac:dyDescent="0.25">
      <c r="A34" s="2" t="s">
        <v>83</v>
      </c>
      <c r="B34" t="s">
        <v>79</v>
      </c>
      <c r="C34" s="15">
        <v>0.45200000000000001</v>
      </c>
    </row>
    <row r="35" spans="1:3" x14ac:dyDescent="0.25">
      <c r="A35" s="2" t="s">
        <v>83</v>
      </c>
      <c r="B35" t="s">
        <v>80</v>
      </c>
      <c r="C35" s="15">
        <v>2.3E-2</v>
      </c>
    </row>
    <row r="36" spans="1:3" x14ac:dyDescent="0.25">
      <c r="A36" s="2" t="s">
        <v>44</v>
      </c>
      <c r="B36" t="s">
        <v>77</v>
      </c>
      <c r="C36" s="15">
        <v>0.105</v>
      </c>
    </row>
    <row r="37" spans="1:3" x14ac:dyDescent="0.25">
      <c r="A37" s="2" t="s">
        <v>44</v>
      </c>
      <c r="B37" t="s">
        <v>78</v>
      </c>
      <c r="C37" s="15">
        <v>0.46</v>
      </c>
    </row>
    <row r="38" spans="1:3" x14ac:dyDescent="0.25">
      <c r="A38" s="2" t="s">
        <v>44</v>
      </c>
      <c r="B38" t="s">
        <v>79</v>
      </c>
      <c r="C38" s="15">
        <v>0.42499999999999999</v>
      </c>
    </row>
    <row r="39" spans="1:3" x14ac:dyDescent="0.25">
      <c r="A39" s="2" t="s">
        <v>44</v>
      </c>
      <c r="B39" t="s">
        <v>80</v>
      </c>
      <c r="C39" s="15">
        <v>0.01</v>
      </c>
    </row>
    <row r="40" spans="1:3" x14ac:dyDescent="0.25">
      <c r="A40" s="2" t="s">
        <v>43</v>
      </c>
      <c r="B40" t="s">
        <v>77</v>
      </c>
      <c r="C40" s="15">
        <v>0.17199999999999999</v>
      </c>
    </row>
    <row r="41" spans="1:3" x14ac:dyDescent="0.25">
      <c r="A41" s="2" t="s">
        <v>43</v>
      </c>
      <c r="B41" t="s">
        <v>78</v>
      </c>
      <c r="C41" s="15">
        <v>0.374</v>
      </c>
    </row>
    <row r="42" spans="1:3" x14ac:dyDescent="0.25">
      <c r="A42" s="2" t="s">
        <v>43</v>
      </c>
      <c r="B42" t="s">
        <v>79</v>
      </c>
      <c r="C42" s="15">
        <v>0.434</v>
      </c>
    </row>
    <row r="43" spans="1:3" x14ac:dyDescent="0.25">
      <c r="A43" s="2" t="s">
        <v>43</v>
      </c>
      <c r="B43" t="s">
        <v>80</v>
      </c>
      <c r="C43" s="15">
        <v>0.02</v>
      </c>
    </row>
    <row r="44" spans="1:3" x14ac:dyDescent="0.25">
      <c r="A44" s="2" t="s">
        <v>42</v>
      </c>
      <c r="B44" t="s">
        <v>77</v>
      </c>
      <c r="C44" s="15">
        <v>0.185</v>
      </c>
    </row>
    <row r="45" spans="1:3" x14ac:dyDescent="0.25">
      <c r="A45" s="2" t="s">
        <v>42</v>
      </c>
      <c r="B45" t="s">
        <v>78</v>
      </c>
      <c r="C45" s="15">
        <v>0.38200000000000001</v>
      </c>
    </row>
    <row r="46" spans="1:3" x14ac:dyDescent="0.25">
      <c r="A46" s="2" t="s">
        <v>42</v>
      </c>
      <c r="B46" t="s">
        <v>79</v>
      </c>
      <c r="C46" s="15">
        <v>0.40600000000000003</v>
      </c>
    </row>
    <row r="47" spans="1:3" x14ac:dyDescent="0.25">
      <c r="A47" s="2" t="s">
        <v>42</v>
      </c>
      <c r="B47" t="s">
        <v>80</v>
      </c>
      <c r="C47" s="15">
        <v>2.7E-2</v>
      </c>
    </row>
    <row r="48" spans="1:3" x14ac:dyDescent="0.25">
      <c r="A48" s="2" t="s">
        <v>41</v>
      </c>
      <c r="B48" t="s">
        <v>77</v>
      </c>
      <c r="C48" s="15">
        <v>0.13800000000000001</v>
      </c>
    </row>
    <row r="49" spans="1:3" x14ac:dyDescent="0.25">
      <c r="A49" s="2" t="s">
        <v>41</v>
      </c>
      <c r="B49" t="s">
        <v>78</v>
      </c>
      <c r="C49" s="15">
        <v>0.35799999999999998</v>
      </c>
    </row>
    <row r="50" spans="1:3" x14ac:dyDescent="0.25">
      <c r="A50" s="2" t="s">
        <v>41</v>
      </c>
      <c r="B50" t="s">
        <v>79</v>
      </c>
      <c r="C50" s="15">
        <v>0.48399999999999999</v>
      </c>
    </row>
    <row r="51" spans="1:3" x14ac:dyDescent="0.25">
      <c r="A51" s="2" t="s">
        <v>41</v>
      </c>
      <c r="B51" t="s">
        <v>80</v>
      </c>
      <c r="C51" s="15">
        <v>0.02</v>
      </c>
    </row>
    <row r="52" spans="1:3" x14ac:dyDescent="0.25">
      <c r="A52" s="2" t="s">
        <v>67</v>
      </c>
      <c r="B52" t="s">
        <v>77</v>
      </c>
      <c r="C52" s="15">
        <v>0.185</v>
      </c>
    </row>
    <row r="53" spans="1:3" x14ac:dyDescent="0.25">
      <c r="A53" s="2" t="s">
        <v>67</v>
      </c>
      <c r="B53" t="s">
        <v>78</v>
      </c>
      <c r="C53" s="15">
        <v>0.33600000000000002</v>
      </c>
    </row>
    <row r="54" spans="1:3" x14ac:dyDescent="0.25">
      <c r="A54" s="2" t="s">
        <v>67</v>
      </c>
      <c r="B54" t="s">
        <v>79</v>
      </c>
      <c r="C54" s="15">
        <v>0.45200000000000001</v>
      </c>
    </row>
    <row r="55" spans="1:3" x14ac:dyDescent="0.25">
      <c r="A55" s="2" t="s">
        <v>67</v>
      </c>
      <c r="B55" t="s">
        <v>80</v>
      </c>
      <c r="C55" s="15">
        <v>2.7E-2</v>
      </c>
    </row>
    <row r="56" spans="1:3" x14ac:dyDescent="0.25">
      <c r="A56" s="2" t="s">
        <v>39</v>
      </c>
      <c r="B56" t="s">
        <v>77</v>
      </c>
      <c r="C56" s="15">
        <v>0.28100000000000003</v>
      </c>
    </row>
    <row r="57" spans="1:3" x14ac:dyDescent="0.25">
      <c r="A57" s="2" t="s">
        <v>39</v>
      </c>
      <c r="B57" t="s">
        <v>78</v>
      </c>
      <c r="C57" s="15">
        <v>0.35799999999999998</v>
      </c>
    </row>
    <row r="58" spans="1:3" x14ac:dyDescent="0.25">
      <c r="A58" s="2" t="s">
        <v>39</v>
      </c>
      <c r="B58" t="s">
        <v>79</v>
      </c>
      <c r="C58" s="15">
        <v>0.34200000000000003</v>
      </c>
    </row>
    <row r="59" spans="1:3" x14ac:dyDescent="0.25">
      <c r="A59" s="2" t="s">
        <v>39</v>
      </c>
      <c r="B59" t="s">
        <v>80</v>
      </c>
      <c r="C59" s="15">
        <v>1.9E-2</v>
      </c>
    </row>
    <row r="60" spans="1:3" x14ac:dyDescent="0.25">
      <c r="A60" s="2" t="s">
        <v>38</v>
      </c>
      <c r="B60" t="s">
        <v>77</v>
      </c>
      <c r="C60" s="15">
        <v>0.223</v>
      </c>
    </row>
    <row r="61" spans="1:3" x14ac:dyDescent="0.25">
      <c r="A61" s="2" t="s">
        <v>38</v>
      </c>
      <c r="B61" t="s">
        <v>78</v>
      </c>
      <c r="C61" s="15">
        <v>0.34399999999999997</v>
      </c>
    </row>
    <row r="62" spans="1:3" x14ac:dyDescent="0.25">
      <c r="A62" s="2" t="s">
        <v>38</v>
      </c>
      <c r="B62" t="s">
        <v>79</v>
      </c>
      <c r="C62" s="15">
        <v>0.40699999999999997</v>
      </c>
    </row>
    <row r="63" spans="1:3" x14ac:dyDescent="0.25">
      <c r="A63" s="2" t="s">
        <v>38</v>
      </c>
      <c r="B63" t="s">
        <v>80</v>
      </c>
      <c r="C63" s="15">
        <v>2.5999999999999999E-2</v>
      </c>
    </row>
    <row r="64" spans="1:3" x14ac:dyDescent="0.25">
      <c r="A64" s="2" t="s">
        <v>37</v>
      </c>
      <c r="B64" t="s">
        <v>77</v>
      </c>
      <c r="C64" s="15">
        <v>0.161</v>
      </c>
    </row>
    <row r="65" spans="1:3" x14ac:dyDescent="0.25">
      <c r="A65" s="2" t="s">
        <v>37</v>
      </c>
      <c r="B65" t="s">
        <v>78</v>
      </c>
      <c r="C65" s="15">
        <v>0.31</v>
      </c>
    </row>
    <row r="66" spans="1:3" x14ac:dyDescent="0.25">
      <c r="A66" s="2" t="s">
        <v>37</v>
      </c>
      <c r="B66" t="s">
        <v>79</v>
      </c>
      <c r="C66" s="15">
        <v>0.49199999999999999</v>
      </c>
    </row>
    <row r="67" spans="1:3" x14ac:dyDescent="0.25">
      <c r="A67" s="2" t="s">
        <v>37</v>
      </c>
      <c r="B67" t="s">
        <v>80</v>
      </c>
      <c r="C67" s="15">
        <v>3.6999999999999998E-2</v>
      </c>
    </row>
    <row r="68" spans="1:3" x14ac:dyDescent="0.25">
      <c r="A68" s="2" t="s">
        <v>36</v>
      </c>
      <c r="B68" t="s">
        <v>77</v>
      </c>
      <c r="C68" s="15">
        <v>0.183</v>
      </c>
    </row>
    <row r="69" spans="1:3" x14ac:dyDescent="0.25">
      <c r="A69" s="2" t="s">
        <v>36</v>
      </c>
      <c r="B69" t="s">
        <v>78</v>
      </c>
      <c r="C69" s="15">
        <v>0.36699999999999999</v>
      </c>
    </row>
    <row r="70" spans="1:3" x14ac:dyDescent="0.25">
      <c r="A70" s="2" t="s">
        <v>36</v>
      </c>
      <c r="B70" t="s">
        <v>79</v>
      </c>
      <c r="C70" s="15">
        <v>0.42699999999999999</v>
      </c>
    </row>
    <row r="71" spans="1:3" x14ac:dyDescent="0.25">
      <c r="A71" s="2" t="s">
        <v>36</v>
      </c>
      <c r="B71" t="s">
        <v>80</v>
      </c>
      <c r="C71" s="15">
        <v>2.3E-2</v>
      </c>
    </row>
    <row r="72" spans="1:3" x14ac:dyDescent="0.25">
      <c r="A72" s="2" t="s">
        <v>84</v>
      </c>
      <c r="B72" t="s">
        <v>77</v>
      </c>
      <c r="C72" s="15">
        <v>0.217</v>
      </c>
    </row>
    <row r="73" spans="1:3" x14ac:dyDescent="0.25">
      <c r="A73" s="2" t="s">
        <v>84</v>
      </c>
      <c r="B73" t="s">
        <v>78</v>
      </c>
      <c r="C73" s="15">
        <v>0.38400000000000001</v>
      </c>
    </row>
    <row r="74" spans="1:3" x14ac:dyDescent="0.25">
      <c r="A74" s="2" t="s">
        <v>84</v>
      </c>
      <c r="B74" t="s">
        <v>79</v>
      </c>
      <c r="C74" s="15">
        <v>0.38500000000000001</v>
      </c>
    </row>
    <row r="75" spans="1:3" x14ac:dyDescent="0.25">
      <c r="A75" s="2" t="s">
        <v>84</v>
      </c>
      <c r="B75" t="s">
        <v>80</v>
      </c>
      <c r="C75" s="15">
        <v>1.4E-2</v>
      </c>
    </row>
    <row r="76" spans="1:3" x14ac:dyDescent="0.25">
      <c r="A76" s="2" t="s">
        <v>85</v>
      </c>
      <c r="B76" t="s">
        <v>77</v>
      </c>
      <c r="C76" s="15">
        <v>0.14099999999999999</v>
      </c>
    </row>
    <row r="77" spans="1:3" x14ac:dyDescent="0.25">
      <c r="A77" s="2" t="s">
        <v>85</v>
      </c>
      <c r="B77" t="s">
        <v>78</v>
      </c>
      <c r="C77" s="15">
        <v>0.34100000000000003</v>
      </c>
    </row>
    <row r="78" spans="1:3" x14ac:dyDescent="0.25">
      <c r="A78" s="2" t="s">
        <v>85</v>
      </c>
      <c r="B78" t="s">
        <v>79</v>
      </c>
      <c r="C78" s="15">
        <v>0.48899999999999999</v>
      </c>
    </row>
    <row r="79" spans="1:3" x14ac:dyDescent="0.25">
      <c r="A79" s="2" t="s">
        <v>85</v>
      </c>
      <c r="B79" t="s">
        <v>80</v>
      </c>
      <c r="C79" s="15">
        <v>2.9000000000000001E-2</v>
      </c>
    </row>
    <row r="80" spans="1:3" x14ac:dyDescent="0.25">
      <c r="A80" s="2" t="s">
        <v>35</v>
      </c>
      <c r="B80" t="s">
        <v>77</v>
      </c>
      <c r="C80" s="15">
        <v>0.154</v>
      </c>
    </row>
    <row r="81" spans="1:3" x14ac:dyDescent="0.25">
      <c r="A81" s="2" t="s">
        <v>35</v>
      </c>
      <c r="B81" t="s">
        <v>78</v>
      </c>
      <c r="C81" s="15">
        <v>0.36899999999999999</v>
      </c>
    </row>
    <row r="82" spans="1:3" x14ac:dyDescent="0.25">
      <c r="A82" s="2" t="s">
        <v>35</v>
      </c>
      <c r="B82" t="s">
        <v>79</v>
      </c>
      <c r="C82" s="15">
        <v>0.45300000000000001</v>
      </c>
    </row>
    <row r="83" spans="1:3" x14ac:dyDescent="0.25">
      <c r="A83" s="2" t="s">
        <v>35</v>
      </c>
      <c r="B83" t="s">
        <v>80</v>
      </c>
      <c r="C83" s="15">
        <v>2.4E-2</v>
      </c>
    </row>
    <row r="84" spans="1:3" x14ac:dyDescent="0.25">
      <c r="A84" s="2" t="s">
        <v>34</v>
      </c>
      <c r="B84" t="s">
        <v>77</v>
      </c>
      <c r="C84" s="15">
        <v>0.16200000000000001</v>
      </c>
    </row>
    <row r="85" spans="1:3" x14ac:dyDescent="0.25">
      <c r="A85" s="2" t="s">
        <v>34</v>
      </c>
      <c r="B85" t="s">
        <v>78</v>
      </c>
      <c r="C85" s="15">
        <v>0.40100000000000002</v>
      </c>
    </row>
    <row r="86" spans="1:3" x14ac:dyDescent="0.25">
      <c r="A86" s="2" t="s">
        <v>34</v>
      </c>
      <c r="B86" t="s">
        <v>79</v>
      </c>
      <c r="C86" s="15">
        <v>0.42299999999999999</v>
      </c>
    </row>
    <row r="87" spans="1:3" x14ac:dyDescent="0.25">
      <c r="A87" s="2" t="s">
        <v>34</v>
      </c>
      <c r="B87" t="s">
        <v>80</v>
      </c>
      <c r="C87" s="15">
        <v>1.4E-2</v>
      </c>
    </row>
    <row r="88" spans="1:3" x14ac:dyDescent="0.25">
      <c r="A88" s="2" t="s">
        <v>33</v>
      </c>
      <c r="B88" t="s">
        <v>77</v>
      </c>
      <c r="C88" s="15">
        <v>0.14399999999999999</v>
      </c>
    </row>
    <row r="89" spans="1:3" x14ac:dyDescent="0.25">
      <c r="A89" s="2" t="s">
        <v>33</v>
      </c>
      <c r="B89" t="s">
        <v>78</v>
      </c>
      <c r="C89" s="15">
        <v>0.31</v>
      </c>
    </row>
    <row r="90" spans="1:3" x14ac:dyDescent="0.25">
      <c r="A90" s="2" t="s">
        <v>33</v>
      </c>
      <c r="B90" t="s">
        <v>79</v>
      </c>
      <c r="C90" s="15">
        <v>0.503</v>
      </c>
    </row>
    <row r="91" spans="1:3" x14ac:dyDescent="0.25">
      <c r="A91" s="2" t="s">
        <v>33</v>
      </c>
      <c r="B91" t="s">
        <v>80</v>
      </c>
      <c r="C91" s="15">
        <v>4.2999999999999997E-2</v>
      </c>
    </row>
    <row r="92" spans="1:3" x14ac:dyDescent="0.25">
      <c r="A92" s="2" t="s">
        <v>32</v>
      </c>
      <c r="B92" t="s">
        <v>77</v>
      </c>
      <c r="C92" s="15">
        <v>0.20300000000000001</v>
      </c>
    </row>
    <row r="93" spans="1:3" x14ac:dyDescent="0.25">
      <c r="A93" s="2" t="s">
        <v>32</v>
      </c>
      <c r="B93" t="s">
        <v>78</v>
      </c>
      <c r="C93" s="15">
        <v>0.374</v>
      </c>
    </row>
    <row r="94" spans="1:3" x14ac:dyDescent="0.25">
      <c r="A94" s="2" t="s">
        <v>32</v>
      </c>
      <c r="B94" t="s">
        <v>79</v>
      </c>
      <c r="C94" s="15">
        <v>0.40600000000000003</v>
      </c>
    </row>
    <row r="95" spans="1:3" x14ac:dyDescent="0.25">
      <c r="A95" s="2" t="s">
        <v>32</v>
      </c>
      <c r="B95" t="s">
        <v>80</v>
      </c>
      <c r="C95" s="15">
        <v>1.7000000000000001E-2</v>
      </c>
    </row>
    <row r="96" spans="1:3" x14ac:dyDescent="0.25">
      <c r="A96" s="2" t="s">
        <v>31</v>
      </c>
      <c r="B96" t="s">
        <v>77</v>
      </c>
      <c r="C96" s="15">
        <v>0.21099999999999999</v>
      </c>
    </row>
    <row r="97" spans="1:3" x14ac:dyDescent="0.25">
      <c r="A97" s="2" t="s">
        <v>31</v>
      </c>
      <c r="B97" t="s">
        <v>78</v>
      </c>
      <c r="C97" s="15">
        <v>0.34</v>
      </c>
    </row>
    <row r="98" spans="1:3" x14ac:dyDescent="0.25">
      <c r="A98" s="2" t="s">
        <v>31</v>
      </c>
      <c r="B98" t="s">
        <v>79</v>
      </c>
      <c r="C98" s="15">
        <v>0.42399999999999999</v>
      </c>
    </row>
    <row r="99" spans="1:3" x14ac:dyDescent="0.25">
      <c r="A99" s="2" t="s">
        <v>31</v>
      </c>
      <c r="B99" t="s">
        <v>80</v>
      </c>
      <c r="C99" s="15">
        <v>2.5000000000000001E-2</v>
      </c>
    </row>
    <row r="100" spans="1:3" x14ac:dyDescent="0.25">
      <c r="A100" s="2" t="s">
        <v>30</v>
      </c>
      <c r="B100" t="s">
        <v>77</v>
      </c>
      <c r="C100" s="15">
        <v>0.159</v>
      </c>
    </row>
    <row r="101" spans="1:3" x14ac:dyDescent="0.25">
      <c r="A101" s="2" t="s">
        <v>30</v>
      </c>
      <c r="B101" t="s">
        <v>78</v>
      </c>
      <c r="C101" s="15">
        <v>0.33</v>
      </c>
    </row>
    <row r="102" spans="1:3" x14ac:dyDescent="0.25">
      <c r="A102" s="2" t="s">
        <v>30</v>
      </c>
      <c r="B102" t="s">
        <v>79</v>
      </c>
      <c r="C102" s="15">
        <v>0.48799999999999999</v>
      </c>
    </row>
    <row r="103" spans="1:3" x14ac:dyDescent="0.25">
      <c r="A103" s="2" t="s">
        <v>30</v>
      </c>
      <c r="B103" t="s">
        <v>80</v>
      </c>
      <c r="C103" s="15">
        <v>2.3E-2</v>
      </c>
    </row>
    <row r="104" spans="1:3" x14ac:dyDescent="0.25">
      <c r="A104" s="2" t="s">
        <v>29</v>
      </c>
      <c r="B104" t="s">
        <v>77</v>
      </c>
      <c r="C104" s="15">
        <v>0.193</v>
      </c>
    </row>
    <row r="105" spans="1:3" x14ac:dyDescent="0.25">
      <c r="A105" s="2" t="s">
        <v>29</v>
      </c>
      <c r="B105" t="s">
        <v>78</v>
      </c>
      <c r="C105" s="15">
        <v>0.39100000000000001</v>
      </c>
    </row>
    <row r="106" spans="1:3" x14ac:dyDescent="0.25">
      <c r="A106" s="2" t="s">
        <v>29</v>
      </c>
      <c r="B106" t="s">
        <v>79</v>
      </c>
      <c r="C106" s="15">
        <v>0.4</v>
      </c>
    </row>
    <row r="107" spans="1:3" x14ac:dyDescent="0.25">
      <c r="A107" s="2" t="s">
        <v>29</v>
      </c>
      <c r="B107" t="s">
        <v>80</v>
      </c>
      <c r="C107" s="15">
        <v>1.6E-2</v>
      </c>
    </row>
    <row r="108" spans="1:3" x14ac:dyDescent="0.25">
      <c r="A108" s="2" t="s">
        <v>28</v>
      </c>
      <c r="B108" t="s">
        <v>77</v>
      </c>
      <c r="C108" s="15">
        <v>0.14599999999999999</v>
      </c>
    </row>
    <row r="109" spans="1:3" x14ac:dyDescent="0.25">
      <c r="A109" s="2" t="s">
        <v>28</v>
      </c>
      <c r="B109" t="s">
        <v>78</v>
      </c>
      <c r="C109" s="15">
        <v>0.33800000000000002</v>
      </c>
    </row>
    <row r="110" spans="1:3" x14ac:dyDescent="0.25">
      <c r="A110" s="2" t="s">
        <v>28</v>
      </c>
      <c r="B110" t="s">
        <v>79</v>
      </c>
      <c r="C110" s="15">
        <v>0.47699999999999998</v>
      </c>
    </row>
    <row r="111" spans="1:3" x14ac:dyDescent="0.25">
      <c r="A111" s="2" t="s">
        <v>28</v>
      </c>
      <c r="B111" t="s">
        <v>80</v>
      </c>
      <c r="C111" s="15">
        <v>3.9E-2</v>
      </c>
    </row>
    <row r="112" spans="1:3" x14ac:dyDescent="0.25">
      <c r="A112" s="2" t="s">
        <v>27</v>
      </c>
      <c r="B112" t="s">
        <v>77</v>
      </c>
      <c r="C112" s="15">
        <v>0.22600000000000001</v>
      </c>
    </row>
    <row r="113" spans="1:3" x14ac:dyDescent="0.25">
      <c r="A113" s="2" t="s">
        <v>27</v>
      </c>
      <c r="B113" t="s">
        <v>78</v>
      </c>
      <c r="C113" s="15">
        <v>0.41199999999999998</v>
      </c>
    </row>
    <row r="114" spans="1:3" x14ac:dyDescent="0.25">
      <c r="A114" s="2" t="s">
        <v>27</v>
      </c>
      <c r="B114" t="s">
        <v>79</v>
      </c>
      <c r="C114" s="15">
        <v>0.34499999999999997</v>
      </c>
    </row>
    <row r="115" spans="1:3" x14ac:dyDescent="0.25">
      <c r="A115" s="2" t="s">
        <v>27</v>
      </c>
      <c r="B115" t="s">
        <v>80</v>
      </c>
      <c r="C115" s="15">
        <v>1.7000000000000001E-2</v>
      </c>
    </row>
    <row r="116" spans="1:3" x14ac:dyDescent="0.25">
      <c r="A116" s="2" t="s">
        <v>26</v>
      </c>
      <c r="B116" t="s">
        <v>77</v>
      </c>
      <c r="C116" s="15">
        <v>0.13200000000000001</v>
      </c>
    </row>
    <row r="117" spans="1:3" x14ac:dyDescent="0.25">
      <c r="A117" s="2" t="s">
        <v>26</v>
      </c>
      <c r="B117" t="s">
        <v>78</v>
      </c>
      <c r="C117" s="15">
        <v>0.40300000000000002</v>
      </c>
    </row>
    <row r="118" spans="1:3" x14ac:dyDescent="0.25">
      <c r="A118" s="2" t="s">
        <v>26</v>
      </c>
      <c r="B118" t="s">
        <v>79</v>
      </c>
      <c r="C118" s="15">
        <v>0.441</v>
      </c>
    </row>
    <row r="119" spans="1:3" x14ac:dyDescent="0.25">
      <c r="A119" s="2" t="s">
        <v>26</v>
      </c>
      <c r="B119" t="s">
        <v>80</v>
      </c>
      <c r="C119" s="15">
        <v>2.4E-2</v>
      </c>
    </row>
    <row r="120" spans="1:3" x14ac:dyDescent="0.25">
      <c r="A120" s="2" t="s">
        <v>25</v>
      </c>
      <c r="B120" t="s">
        <v>77</v>
      </c>
      <c r="C120" s="15">
        <v>0.159</v>
      </c>
    </row>
    <row r="121" spans="1:3" x14ac:dyDescent="0.25">
      <c r="A121" s="2" t="s">
        <v>25</v>
      </c>
      <c r="B121" t="s">
        <v>78</v>
      </c>
      <c r="C121" s="15">
        <v>0.32900000000000001</v>
      </c>
    </row>
    <row r="122" spans="1:3" x14ac:dyDescent="0.25">
      <c r="A122" s="2" t="s">
        <v>25</v>
      </c>
      <c r="B122" t="s">
        <v>79</v>
      </c>
      <c r="C122" s="15">
        <v>0.48</v>
      </c>
    </row>
    <row r="123" spans="1:3" x14ac:dyDescent="0.25">
      <c r="A123" s="2" t="s">
        <v>25</v>
      </c>
      <c r="B123" t="s">
        <v>80</v>
      </c>
      <c r="C123" s="15">
        <v>3.2000000000000001E-2</v>
      </c>
    </row>
    <row r="124" spans="1:3" x14ac:dyDescent="0.25">
      <c r="A124" s="2" t="s">
        <v>23</v>
      </c>
      <c r="B124" t="s">
        <v>77</v>
      </c>
      <c r="C124" s="15">
        <v>0.16700000000000001</v>
      </c>
    </row>
    <row r="125" spans="1:3" x14ac:dyDescent="0.25">
      <c r="A125" s="2" t="s">
        <v>23</v>
      </c>
      <c r="B125" t="s">
        <v>78</v>
      </c>
      <c r="C125" s="15">
        <v>0.34399999999999997</v>
      </c>
    </row>
    <row r="126" spans="1:3" x14ac:dyDescent="0.25">
      <c r="A126" s="2" t="s">
        <v>23</v>
      </c>
      <c r="B126" t="s">
        <v>79</v>
      </c>
      <c r="C126" s="15">
        <v>0.46300000000000002</v>
      </c>
    </row>
    <row r="127" spans="1:3" x14ac:dyDescent="0.25">
      <c r="A127" s="9" t="s">
        <v>23</v>
      </c>
      <c r="B127" s="10" t="s">
        <v>80</v>
      </c>
      <c r="C127" s="16">
        <v>2.5999999999999999E-2</v>
      </c>
    </row>
    <row r="129" spans="1:1" x14ac:dyDescent="0.25">
      <c r="A129" t="s">
        <v>87</v>
      </c>
    </row>
    <row r="131" spans="1:1" x14ac:dyDescent="0.25">
      <c r="A131" t="s">
        <v>88</v>
      </c>
    </row>
    <row r="133" spans="1:1" x14ac:dyDescent="0.25">
      <c r="A133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9"/>
  <sheetViews>
    <sheetView workbookViewId="0"/>
  </sheetViews>
  <sheetFormatPr defaultColWidth="11.42578125" defaultRowHeight="15" x14ac:dyDescent="0.25"/>
  <cols>
    <col min="1" max="1" width="51.7109375" customWidth="1"/>
    <col min="2" max="2" width="6.7109375" customWidth="1"/>
    <col min="3" max="3" width="9.7109375" customWidth="1"/>
  </cols>
  <sheetData>
    <row r="1" spans="1:3" x14ac:dyDescent="0.25">
      <c r="A1" t="s">
        <v>89</v>
      </c>
    </row>
    <row r="3" spans="1:3" x14ac:dyDescent="0.25">
      <c r="A3" s="7" t="s">
        <v>75</v>
      </c>
      <c r="B3" s="6" t="s">
        <v>21</v>
      </c>
      <c r="C3" s="8" t="s">
        <v>90</v>
      </c>
    </row>
    <row r="4" spans="1:3" x14ac:dyDescent="0.25">
      <c r="A4" s="2" t="s">
        <v>91</v>
      </c>
      <c r="B4" t="s">
        <v>24</v>
      </c>
      <c r="C4" s="17">
        <v>0.16700000000000001</v>
      </c>
    </row>
    <row r="5" spans="1:3" x14ac:dyDescent="0.25">
      <c r="A5" s="2" t="s">
        <v>92</v>
      </c>
      <c r="B5" t="s">
        <v>24</v>
      </c>
      <c r="C5" s="17">
        <v>0.157</v>
      </c>
    </row>
    <row r="6" spans="1:3" x14ac:dyDescent="0.25">
      <c r="A6" s="2" t="s">
        <v>93</v>
      </c>
      <c r="B6" t="s">
        <v>24</v>
      </c>
      <c r="C6" s="17">
        <v>0.20899999999999999</v>
      </c>
    </row>
    <row r="7" spans="1:3" x14ac:dyDescent="0.25">
      <c r="A7" s="2" t="s">
        <v>94</v>
      </c>
      <c r="B7" t="s">
        <v>24</v>
      </c>
      <c r="C7" s="17">
        <v>0.182</v>
      </c>
    </row>
    <row r="8" spans="1:3" x14ac:dyDescent="0.25">
      <c r="A8" s="2" t="s">
        <v>95</v>
      </c>
      <c r="B8" t="s">
        <v>24</v>
      </c>
      <c r="C8" s="17">
        <v>0.25600000000000001</v>
      </c>
    </row>
    <row r="9" spans="1:3" x14ac:dyDescent="0.25">
      <c r="A9" s="2" t="s">
        <v>96</v>
      </c>
      <c r="B9" t="s">
        <v>24</v>
      </c>
      <c r="C9" s="17">
        <v>2.9000000000000001E-2</v>
      </c>
    </row>
    <row r="10" spans="1:3" x14ac:dyDescent="0.25">
      <c r="A10" s="2" t="s">
        <v>91</v>
      </c>
      <c r="B10" t="s">
        <v>51</v>
      </c>
      <c r="C10" s="17">
        <v>0.185</v>
      </c>
    </row>
    <row r="11" spans="1:3" x14ac:dyDescent="0.25">
      <c r="A11" s="2" t="s">
        <v>92</v>
      </c>
      <c r="B11" t="s">
        <v>51</v>
      </c>
      <c r="C11" s="17">
        <v>0.16400000000000001</v>
      </c>
    </row>
    <row r="12" spans="1:3" x14ac:dyDescent="0.25">
      <c r="A12" s="2" t="s">
        <v>93</v>
      </c>
      <c r="B12" t="s">
        <v>51</v>
      </c>
      <c r="C12" s="17">
        <v>0.217</v>
      </c>
    </row>
    <row r="13" spans="1:3" x14ac:dyDescent="0.25">
      <c r="A13" s="2" t="s">
        <v>94</v>
      </c>
      <c r="B13" t="s">
        <v>51</v>
      </c>
      <c r="C13" s="17">
        <v>0.17899999999999999</v>
      </c>
    </row>
    <row r="14" spans="1:3" x14ac:dyDescent="0.25">
      <c r="A14" s="2" t="s">
        <v>95</v>
      </c>
      <c r="B14" t="s">
        <v>51</v>
      </c>
      <c r="C14" s="17">
        <v>0.22500000000000001</v>
      </c>
    </row>
    <row r="15" spans="1:3" x14ac:dyDescent="0.25">
      <c r="A15" s="9" t="s">
        <v>96</v>
      </c>
      <c r="B15" s="10" t="s">
        <v>51</v>
      </c>
      <c r="C15" s="18">
        <v>0.03</v>
      </c>
    </row>
    <row r="17" spans="1:1" x14ac:dyDescent="0.25">
      <c r="A17" t="s">
        <v>98</v>
      </c>
    </row>
    <row r="19" spans="1:1" x14ac:dyDescent="0.25">
      <c r="A19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5"/>
  <sheetViews>
    <sheetView workbookViewId="0"/>
  </sheetViews>
  <sheetFormatPr defaultColWidth="11.42578125" defaultRowHeight="15" x14ac:dyDescent="0.25"/>
  <cols>
    <col min="1" max="1" width="6.7109375" customWidth="1"/>
    <col min="2" max="2" width="17.7109375" customWidth="1"/>
  </cols>
  <sheetData>
    <row r="1" spans="1:2" x14ac:dyDescent="0.25">
      <c r="A1" t="s">
        <v>99</v>
      </c>
    </row>
    <row r="3" spans="1:2" x14ac:dyDescent="0.25">
      <c r="A3" s="7" t="s">
        <v>21</v>
      </c>
      <c r="B3" s="8" t="s">
        <v>100</v>
      </c>
    </row>
    <row r="4" spans="1:2" x14ac:dyDescent="0.25">
      <c r="A4" s="2">
        <v>2035</v>
      </c>
      <c r="B4" s="87">
        <v>0.33</v>
      </c>
    </row>
    <row r="5" spans="1:2" x14ac:dyDescent="0.25">
      <c r="A5" s="2">
        <v>2022</v>
      </c>
      <c r="B5" s="19">
        <v>0.13600000000000001</v>
      </c>
    </row>
    <row r="6" spans="1:2" x14ac:dyDescent="0.25">
      <c r="A6" s="2">
        <v>2019</v>
      </c>
      <c r="B6" s="19">
        <v>0.185</v>
      </c>
    </row>
    <row r="7" spans="1:2" x14ac:dyDescent="0.25">
      <c r="A7" s="9">
        <v>2014</v>
      </c>
      <c r="B7" s="90">
        <v>0.16700000000000001</v>
      </c>
    </row>
    <row r="23" spans="1:1" x14ac:dyDescent="0.25">
      <c r="A23" t="s">
        <v>102</v>
      </c>
    </row>
    <row r="25" spans="1:1" x14ac:dyDescent="0.25">
      <c r="A25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9"/>
  <sheetViews>
    <sheetView workbookViewId="0"/>
  </sheetViews>
  <sheetFormatPr defaultColWidth="11.42578125" defaultRowHeight="15" x14ac:dyDescent="0.25"/>
  <cols>
    <col min="1" max="1" width="6.7109375" customWidth="1"/>
    <col min="2" max="2" width="27.7109375" customWidth="1"/>
    <col min="3" max="3" width="32.7109375" customWidth="1"/>
    <col min="4" max="4" width="41.7109375" customWidth="1"/>
  </cols>
  <sheetData>
    <row r="1" spans="1:4" x14ac:dyDescent="0.25">
      <c r="A1" t="s">
        <v>103</v>
      </c>
    </row>
    <row r="3" spans="1:4" x14ac:dyDescent="0.25">
      <c r="A3" s="7" t="s">
        <v>21</v>
      </c>
      <c r="B3" s="6" t="s">
        <v>104</v>
      </c>
      <c r="C3" s="6" t="s">
        <v>105</v>
      </c>
      <c r="D3" s="8" t="s">
        <v>106</v>
      </c>
    </row>
    <row r="4" spans="1:4" x14ac:dyDescent="0.25">
      <c r="A4" s="2">
        <v>2024</v>
      </c>
      <c r="B4" s="20">
        <v>7.7</v>
      </c>
      <c r="C4" s="20">
        <v>7.7</v>
      </c>
      <c r="D4" s="21">
        <v>162.80000000000001</v>
      </c>
    </row>
    <row r="5" spans="1:4" x14ac:dyDescent="0.25">
      <c r="A5" s="2">
        <v>2023</v>
      </c>
      <c r="B5" s="20">
        <v>6.5</v>
      </c>
      <c r="C5" s="20">
        <v>6.5</v>
      </c>
      <c r="D5" s="21">
        <v>128.6</v>
      </c>
    </row>
    <row r="6" spans="1:4" x14ac:dyDescent="0.25">
      <c r="A6" s="2">
        <v>2022</v>
      </c>
      <c r="B6" s="20">
        <v>5.6</v>
      </c>
      <c r="C6" s="20">
        <v>5.6</v>
      </c>
      <c r="D6" s="21">
        <v>92.2</v>
      </c>
    </row>
    <row r="7" spans="1:4" x14ac:dyDescent="0.25">
      <c r="A7" s="2">
        <v>2021</v>
      </c>
      <c r="B7" s="20">
        <v>5.2</v>
      </c>
      <c r="C7" s="20">
        <v>5.3</v>
      </c>
      <c r="D7" s="21">
        <v>69.599999999999994</v>
      </c>
    </row>
    <row r="8" spans="1:4" x14ac:dyDescent="0.25">
      <c r="A8" s="2">
        <v>2020</v>
      </c>
      <c r="B8" s="20">
        <v>3.6</v>
      </c>
      <c r="C8" s="20">
        <v>3.7</v>
      </c>
      <c r="D8" s="21">
        <v>46.1</v>
      </c>
    </row>
    <row r="9" spans="1:4" x14ac:dyDescent="0.25">
      <c r="A9" s="2">
        <v>2019</v>
      </c>
      <c r="B9" s="20">
        <v>4.5</v>
      </c>
      <c r="C9" s="20">
        <v>4.5</v>
      </c>
      <c r="D9" s="21">
        <v>52.8</v>
      </c>
    </row>
    <row r="10" spans="1:4" x14ac:dyDescent="0.25">
      <c r="A10" s="2">
        <v>2018</v>
      </c>
      <c r="B10" s="20">
        <v>3.8</v>
      </c>
      <c r="C10" s="20">
        <v>3.8</v>
      </c>
      <c r="D10" s="21">
        <v>43</v>
      </c>
    </row>
    <row r="11" spans="1:4" x14ac:dyDescent="0.25">
      <c r="A11" s="9">
        <v>2017</v>
      </c>
      <c r="B11" s="22">
        <v>3.3</v>
      </c>
      <c r="C11" s="22">
        <v>3.3</v>
      </c>
      <c r="D11" s="23">
        <v>35.9</v>
      </c>
    </row>
    <row r="13" spans="1:4" x14ac:dyDescent="0.25">
      <c r="A13" t="s">
        <v>108</v>
      </c>
    </row>
    <row r="15" spans="1:4" x14ac:dyDescent="0.25">
      <c r="A15" t="s">
        <v>109</v>
      </c>
    </row>
    <row r="16" spans="1:4" x14ac:dyDescent="0.25">
      <c r="A16" t="s">
        <v>110</v>
      </c>
    </row>
    <row r="17" spans="1:1" x14ac:dyDescent="0.25">
      <c r="A17" t="s">
        <v>111</v>
      </c>
    </row>
    <row r="19" spans="1:1" x14ac:dyDescent="0.25">
      <c r="A19" s="1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45</vt:i4>
      </vt:variant>
    </vt:vector>
  </HeadingPairs>
  <TitlesOfParts>
    <vt:vector size="45" baseType="lpstr">
      <vt:lpstr>Spis treści</vt:lpstr>
      <vt:lpstr>Tabela 1.1</vt:lpstr>
      <vt:lpstr>Tabela 1.2</vt:lpstr>
      <vt:lpstr>Wykres 1.1</vt:lpstr>
      <vt:lpstr>Wykres 1.2</vt:lpstr>
      <vt:lpstr>Wykres 1.3</vt:lpstr>
      <vt:lpstr>Wykres 1.4</vt:lpstr>
      <vt:lpstr>Wykres 1.5</vt:lpstr>
      <vt:lpstr>Tabela 2.1</vt:lpstr>
      <vt:lpstr>Wykres 2.1</vt:lpstr>
      <vt:lpstr>Wykres 2.2</vt:lpstr>
      <vt:lpstr>Wykres 2.3</vt:lpstr>
      <vt:lpstr>Wykres 2.4</vt:lpstr>
      <vt:lpstr>Wykres 3.1</vt:lpstr>
      <vt:lpstr>Tabela 3.1</vt:lpstr>
      <vt:lpstr>Tabela 3.2</vt:lpstr>
      <vt:lpstr>Tabela 3.3</vt:lpstr>
      <vt:lpstr>Tabela 3.4</vt:lpstr>
      <vt:lpstr>Tabela 3.5</vt:lpstr>
      <vt:lpstr>Tabela 3.6</vt:lpstr>
      <vt:lpstr>Tabela 3.7</vt:lpstr>
      <vt:lpstr>Tabela 3.8</vt:lpstr>
      <vt:lpstr>Tabela 3.9</vt:lpstr>
      <vt:lpstr>Wykres 3.2</vt:lpstr>
      <vt:lpstr>Tabela 3.10</vt:lpstr>
      <vt:lpstr>Tabela 3.11</vt:lpstr>
      <vt:lpstr>Tabela 3.12</vt:lpstr>
      <vt:lpstr>Tabela 3.13</vt:lpstr>
      <vt:lpstr>Wykres 3.3</vt:lpstr>
      <vt:lpstr>Tabela 3.14</vt:lpstr>
      <vt:lpstr>Tabela 3.15</vt:lpstr>
      <vt:lpstr>Tabela 3.16</vt:lpstr>
      <vt:lpstr>Tabela 3.17</vt:lpstr>
      <vt:lpstr>Tabela 3.18</vt:lpstr>
      <vt:lpstr>Tabela 3.19</vt:lpstr>
      <vt:lpstr>Tabela 3.20</vt:lpstr>
      <vt:lpstr>Tabela 3.21</vt:lpstr>
      <vt:lpstr>Wykres 3.4</vt:lpstr>
      <vt:lpstr>Wykres 3.5</vt:lpstr>
      <vt:lpstr>Tabela 3.22</vt:lpstr>
      <vt:lpstr>Tabela 3.23</vt:lpstr>
      <vt:lpstr>Tabela 3.24</vt:lpstr>
      <vt:lpstr>Tabela 3.25</vt:lpstr>
      <vt:lpstr>Tabela 3.26</vt:lpstr>
      <vt:lpstr>Tabela 3.27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2025-10-03T14:41:00Z</dcterms:created>
  <dcterms:modified xsi:type="dcterms:W3CDTF">2025-10-13T05:14:55Z</dcterms:modified>
</cp:coreProperties>
</file>