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Nowe Wydzialy\Beata\alzheimer\aktualizacja2023\"/>
    </mc:Choice>
  </mc:AlternateContent>
  <bookViews>
    <workbookView xWindow="0" yWindow="0" windowWidth="13125" windowHeight="6105"/>
  </bookViews>
  <sheets>
    <sheet name="Spis treści" sheetId="1" r:id="rId1"/>
    <sheet name="Wykres 1.1" sheetId="2" r:id="rId2"/>
    <sheet name="Wykres 1.2" sheetId="3" r:id="rId3"/>
    <sheet name="Wykres 1.3" sheetId="4" r:id="rId4"/>
    <sheet name="Wykres 1.4" sheetId="5" r:id="rId5"/>
    <sheet name="Wykres 1.5a" sheetId="6" r:id="rId6"/>
    <sheet name="Wykres 1.5b" sheetId="7" r:id="rId7"/>
    <sheet name="Wykres 1.6" sheetId="8" r:id="rId8"/>
    <sheet name="Tabela 2.1" sheetId="9" r:id="rId9"/>
    <sheet name="Wykres 2.1" sheetId="10" r:id="rId10"/>
    <sheet name="Wykres 2.2" sheetId="11" r:id="rId11"/>
    <sheet name="Wykres 2.3a" sheetId="12" r:id="rId12"/>
    <sheet name="Wykres 2.3b" sheetId="13" r:id="rId13"/>
    <sheet name="Tabela 2.2" sheetId="14" r:id="rId14"/>
    <sheet name="Wykres 2.4" sheetId="15" r:id="rId15"/>
    <sheet name="Tabela 2.3" sheetId="16" r:id="rId16"/>
    <sheet name="Tabela 2.4" sheetId="17" r:id="rId17"/>
    <sheet name="Tabela 2.5" sheetId="18" r:id="rId18"/>
    <sheet name="Wykres 2.5" sheetId="19" r:id="rId19"/>
    <sheet name="Tabela 2.6" sheetId="20" r:id="rId20"/>
    <sheet name="Wykres 2.6" sheetId="21" r:id="rId21"/>
    <sheet name="Tabela 2.7" sheetId="22" r:id="rId22"/>
    <sheet name="Tabela 2.8" sheetId="23" r:id="rId23"/>
    <sheet name="Tabela 2.9" sheetId="24" r:id="rId24"/>
    <sheet name="Tabela 2.10" sheetId="25" r:id="rId25"/>
    <sheet name="Tabela 2.11" sheetId="26" r:id="rId26"/>
    <sheet name="Wykres 2.7" sheetId="27" r:id="rId27"/>
    <sheet name="Tabela 2.12" sheetId="28" r:id="rId28"/>
    <sheet name="Wykres 2.8" sheetId="29" r:id="rId29"/>
    <sheet name="Tabela 2.13" sheetId="30" r:id="rId30"/>
    <sheet name="Tabela 2.14" sheetId="31" r:id="rId31"/>
    <sheet name="Wykres 2.9" sheetId="32" r:id="rId32"/>
    <sheet name="Wykres 2.10" sheetId="33" r:id="rId33"/>
    <sheet name="Wykres 2.11" sheetId="34" r:id="rId34"/>
    <sheet name="Wykres 2.12" sheetId="35" r:id="rId35"/>
    <sheet name="Wykres 2.13" sheetId="36" r:id="rId36"/>
    <sheet name="Wykres 2.14" sheetId="37" r:id="rId37"/>
    <sheet name="Wykres 2.15a" sheetId="38" r:id="rId38"/>
    <sheet name="Wykres 2.15b" sheetId="39" r:id="rId39"/>
    <sheet name="Wykres 2.16" sheetId="40" r:id="rId40"/>
    <sheet name="Wykres 2.17" sheetId="41" r:id="rId41"/>
    <sheet name="Wykres 2.18" sheetId="42" r:id="rId42"/>
    <sheet name="Tabela 2.15" sheetId="43" r:id="rId43"/>
    <sheet name="Tabela 2.16" sheetId="44" r:id="rId44"/>
    <sheet name="Wykres 2.19" sheetId="45" r:id="rId45"/>
    <sheet name="Wykres 2.20" sheetId="46" r:id="rId46"/>
    <sheet name="Wykres 2.21" sheetId="47" r:id="rId47"/>
    <sheet name="Wykres 2.22" sheetId="48" r:id="rId48"/>
    <sheet name="Wykres 2.23" sheetId="49" r:id="rId49"/>
    <sheet name="Wykres 2.24" sheetId="50" r:id="rId50"/>
    <sheet name="Tabela 2.17" sheetId="51" r:id="rId51"/>
    <sheet name="Tabela 2.18" sheetId="57" r:id="rId52"/>
    <sheet name="Wykres 2.25a" sheetId="52" r:id="rId53"/>
    <sheet name="Wykres 2.25b" sheetId="53" r:id="rId54"/>
    <sheet name="Wykres 2.26a" sheetId="54" r:id="rId55"/>
    <sheet name="Wykres 2.26b" sheetId="55" r:id="rId56"/>
    <sheet name="Wykres 2.27" sheetId="56" r:id="rId57"/>
    <sheet name="Wykres 2.28" sheetId="58" r:id="rId58"/>
    <sheet name="Wykres 2.29" sheetId="59" r:id="rId59"/>
    <sheet name="Wykres 2.30" sheetId="60" r:id="rId60"/>
    <sheet name="Tabela 2.19" sheetId="61" r:id="rId61"/>
    <sheet name="Wykres 2.31" sheetId="62" r:id="rId62"/>
    <sheet name="Wykres 2.32" sheetId="63" r:id="rId63"/>
    <sheet name="Tabela 2.20" sheetId="64" r:id="rId64"/>
    <sheet name="Wykres 2.33" sheetId="65" r:id="rId65"/>
    <sheet name="Wykres 2.34" sheetId="66" r:id="rId66"/>
    <sheet name="Tabela 2.21" sheetId="67" r:id="rId67"/>
    <sheet name="Wykres 2.35" sheetId="68" r:id="rId68"/>
    <sheet name="Wykres 2.36" sheetId="69" r:id="rId69"/>
    <sheet name="Wykres 2.37" sheetId="70" r:id="rId70"/>
    <sheet name="Tabela 2.22" sheetId="71" r:id="rId71"/>
    <sheet name="Wykres 2.38" sheetId="72" r:id="rId72"/>
  </sheets>
  <calcPr calcId="152511"/>
</workbook>
</file>

<file path=xl/calcChain.xml><?xml version="1.0" encoding="utf-8"?>
<calcChain xmlns="http://schemas.openxmlformats.org/spreadsheetml/2006/main">
  <c r="A34" i="33" l="1"/>
  <c r="A33" i="72"/>
  <c r="A19" i="71"/>
  <c r="A27" i="70"/>
  <c r="A25" i="69"/>
  <c r="A36" i="68"/>
  <c r="A14" i="67"/>
  <c r="A29" i="66"/>
  <c r="A17" i="65"/>
  <c r="A14" i="64"/>
  <c r="A29" i="63"/>
  <c r="A17" i="62"/>
  <c r="A14" i="61"/>
  <c r="A29" i="60"/>
  <c r="A17" i="59"/>
  <c r="A34" i="58"/>
  <c r="A21" i="57"/>
  <c r="A21" i="56"/>
  <c r="A25" i="55"/>
  <c r="A25" i="54"/>
  <c r="A25" i="53"/>
  <c r="A25" i="52"/>
  <c r="A11" i="51"/>
  <c r="A27" i="50"/>
  <c r="A27" i="49"/>
  <c r="A27" i="48"/>
  <c r="A29" i="47"/>
  <c r="A27" i="46"/>
  <c r="A25" i="45"/>
  <c r="A16" i="44"/>
  <c r="A18" i="43"/>
  <c r="A28" i="42"/>
  <c r="A28" i="41"/>
  <c r="A24" i="40"/>
  <c r="A25" i="39"/>
  <c r="A25" i="38"/>
  <c r="A45" i="37"/>
  <c r="A25" i="36"/>
  <c r="A34" i="35"/>
  <c r="A34" i="34"/>
  <c r="A34" i="32"/>
  <c r="A22" i="31"/>
  <c r="A21" i="30"/>
  <c r="A51" i="29"/>
  <c r="A25" i="28"/>
  <c r="A21" i="27"/>
  <c r="A18" i="26"/>
  <c r="A18" i="25"/>
  <c r="A30" i="24"/>
  <c r="A29" i="23"/>
  <c r="A23" i="22"/>
  <c r="A22" i="21"/>
  <c r="A22" i="20"/>
  <c r="A23" i="19"/>
  <c r="A31" i="18"/>
  <c r="A33" i="17"/>
  <c r="A33" i="16"/>
  <c r="A33" i="15"/>
  <c r="A18" i="14"/>
  <c r="A25" i="13"/>
  <c r="A25" i="12"/>
  <c r="A23" i="11"/>
  <c r="A26" i="10"/>
  <c r="A18" i="9"/>
  <c r="A40" i="8"/>
  <c r="A39" i="7"/>
  <c r="A39" i="6"/>
  <c r="A49" i="5"/>
  <c r="A49" i="4"/>
  <c r="A71" i="3"/>
  <c r="A71" i="2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<sst xmlns="http://schemas.openxmlformats.org/spreadsheetml/2006/main" count="2177" uniqueCount="337">
  <si>
    <t>Wykres 1.1: Szacowany odsetek chorych na chorobę Alzheimera i choroby pokrewne w wybranych krajach europejskich w latach 2014 i 2019</t>
  </si>
  <si>
    <t>Kraj</t>
  </si>
  <si>
    <t>Rok</t>
  </si>
  <si>
    <t>Odsetek</t>
  </si>
  <si>
    <t>Cypr</t>
  </si>
  <si>
    <t>2014</t>
  </si>
  <si>
    <t>Irlandia</t>
  </si>
  <si>
    <t>Luksemburg</t>
  </si>
  <si>
    <t>Islandia</t>
  </si>
  <si>
    <t>Słowacja</t>
  </si>
  <si>
    <t>Wielka Brytania</t>
  </si>
  <si>
    <t>Dania</t>
  </si>
  <si>
    <t>Malta</t>
  </si>
  <si>
    <t>Norwegia</t>
  </si>
  <si>
    <t>Polska</t>
  </si>
  <si>
    <t>Rumunia</t>
  </si>
  <si>
    <t>Szwecja</t>
  </si>
  <si>
    <t>Holandia</t>
  </si>
  <si>
    <t>Francja</t>
  </si>
  <si>
    <t>Austria</t>
  </si>
  <si>
    <t>Szwajcaria</t>
  </si>
  <si>
    <t>Belgia</t>
  </si>
  <si>
    <t>Finlandia</t>
  </si>
  <si>
    <t>Hiszpania</t>
  </si>
  <si>
    <t>Bułgaria</t>
  </si>
  <si>
    <t>Unia Europejska</t>
  </si>
  <si>
    <t>Węgry</t>
  </si>
  <si>
    <t>Chorwacja</t>
  </si>
  <si>
    <t>Portugalia</t>
  </si>
  <si>
    <t>Litwa</t>
  </si>
  <si>
    <t>Łotwa</t>
  </si>
  <si>
    <t>Estonia</t>
  </si>
  <si>
    <t>Grecja</t>
  </si>
  <si>
    <t>Słowenia</t>
  </si>
  <si>
    <t>Niemcy</t>
  </si>
  <si>
    <t>Włochy</t>
  </si>
  <si>
    <t>2019</t>
  </si>
  <si>
    <t>Źródło: Opracowanie własne na podstawie danych Institute for Health Metrics and Evaluation (IHME)</t>
  </si>
  <si>
    <t>IHME definiuje chorobę Alzheimera i choroby pokrewne jako F00–F02.0, F02.8–F03.91, F06.2, G30–G31.1, G31.8–G32.89 wg ICD-10</t>
  </si>
  <si>
    <t>Wykres 1.2: Standaryzowany strukturą wiekową szacowany odsetek chorych na chorobę Alzheimera i choroby pokrewne w wybranych krajach europejskich w latach 2014 i 2019</t>
  </si>
  <si>
    <t>Wykres 1.3: Szacowana liczba osób chorych na chorobę Alzheimera i choroby pokrewne w Polsce (2000–2019) jako odsetek ludności (lewy wykres) i w wartościach bezwzględnych (prawy wykres)—oszacowanie (linią ciągła) i 95% przedział ufności (linia przerywana)</t>
  </si>
  <si>
    <t>Płeć</t>
  </si>
  <si>
    <t>Odsetek ludności</t>
  </si>
  <si>
    <t>Górny przedział odsetek</t>
  </si>
  <si>
    <t>Dolny przedział odsetek</t>
  </si>
  <si>
    <t>Kobiety</t>
  </si>
  <si>
    <t>Mężczyźni</t>
  </si>
  <si>
    <t>Wykres 1.4: Szacowana zachorowalność na chorobę Alzheimera i choroby pokrewne w Polsce (2000–2019) jako odsetek ludności (lewy wykres) i w wartościach bezwzględnych (prawy wykres)—oszacowanie (linią ciągła) i 95% przedział ufności (linia przerywana)</t>
  </si>
  <si>
    <t>Wykres 1.5a: Szacowany odsetek osób chorych na chorobę Alzheimera i choroby pokrewne w wybranych krajach europejskich w podziale na płeć (2019, kobiety)—oszacowanie (punkt) i 95% przedział ufności (linia)</t>
  </si>
  <si>
    <t>Wykres 1.5b: Szacowany odsetek osób chorych na chorobę Alzheimera i choroby pokrewne w wybranych krajach europejskich w podziale na płeć (2019, mężczyźni)—oszacowanie (punkt) i 95% przedział ufności (linia)</t>
  </si>
  <si>
    <t>Wykres 1.6: Szacowany udział DALY z powodu choroby Alzheimera i chorób pokrewnych wśród DALY z powodu wszystkich chorób w wybranych krajach europejskich (2019)</t>
  </si>
  <si>
    <t>Udział DALY</t>
  </si>
  <si>
    <t>Górny przedział</t>
  </si>
  <si>
    <t>Dolny przedział</t>
  </si>
  <si>
    <t>Tabela 2.1: Chorobowość rejestrowana choroby Alzheimera i chorób pokrewnych w Polsce (2014–2022)</t>
  </si>
  <si>
    <t>Liczba chorych ogółem (w tys.)</t>
  </si>
  <si>
    <t>Liczba chorych kobiety ( w tys.)</t>
  </si>
  <si>
    <t>Liczba chorych mężczyźni (w tys.)</t>
  </si>
  <si>
    <t>Współczynnik chorobowości ogółem na 1000 osób w wieku 55+</t>
  </si>
  <si>
    <t>Współczynnik chorobowości kobiet na 1000 osób w wieku 55+</t>
  </si>
  <si>
    <t>Współczynnik chorobowości mężczyzn na 1000 osób w wieku 55+</t>
  </si>
  <si>
    <t>Współczynnik chorobowości standaryzowany względem wieku i płci na 1000 osób w wieku 55+ (ogółem)</t>
  </si>
  <si>
    <t>Współczynnik chorobowości standaryzowany względem wieku i płci na 1000 osób w wieku 55+ (kobiety)</t>
  </si>
  <si>
    <t>Współczynnik chorobowości standaryzowany względem wieku i płci na 1000 osób w wieku 55+ (mężczyźni)</t>
  </si>
  <si>
    <t>Źródło: Opracowanie własne na podstawie danych NFZ, GUS</t>
  </si>
  <si>
    <t>Chorobowość rejestrowana choroby Alzheimera i chorób pokrewnych w roku t została zdefiniowana jako liczba osób, które żyły na koniec roku t oraz w latach od t − 3 do t (włącznie) miały udzielone co najmniej jedno świadczenie z rozpoznaniem głównym lub współistniejącym o kodzie ICD-10 z zakresów F00–F01 (wszystkie rozszerzenia, także rozpoznania bez wskazanego rozszerzenia), F02.1–F02.3, G30 (wszystkie rozszerzenia, także 3-znakowe) oraz rozpoznania G31.0, G31.1, G31.8, G31.9. Populację pacjentów ograniczono do osób w wieku 55 lat i więcej (wg rocznika urodzenia).</t>
  </si>
  <si>
    <t>Wykres 2.1: Liczba osób chorych na chorobę Alzheimera lub choroby pokrewne wg płci i grup wiekowych (2022 r.)</t>
  </si>
  <si>
    <t>Grupa wiekowa</t>
  </si>
  <si>
    <t>Liczba chorych (w tys.)</t>
  </si>
  <si>
    <t>55-64</t>
  </si>
  <si>
    <t>65-74</t>
  </si>
  <si>
    <t>75-84</t>
  </si>
  <si>
    <t>85+</t>
  </si>
  <si>
    <t>Źródło: Opracowanie własne na podstawie danych NFZ</t>
  </si>
  <si>
    <t>Wykres 2.2: Liczba i odsetek ludności chorej na chorobę Alzheimera lub choroby pokrewne wg płci i grup wiekowych (2022 r.)</t>
  </si>
  <si>
    <t>Liczba chorych</t>
  </si>
  <si>
    <t>Liczba ludności ogółem</t>
  </si>
  <si>
    <t>Wykres 2.3a: Surowy współczynnik chorobowości choroby Alzheimera oraz chorób pokrewnych wg województwa zamieszkania pacjenta (2022 r.)</t>
  </si>
  <si>
    <t>Województwo</t>
  </si>
  <si>
    <t>Współczynnik chorobowości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</si>
  <si>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</si>
  <si>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</si>
  <si>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</si>
  <si>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</si>
  <si>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</si>
  <si>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</si>
  <si>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</si>
  <si>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</si>
  <si>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</si>
  <si>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</si>
  <si>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</si>
  <si>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</si>
  <si>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</si>
  <si>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</si>
  <si>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</si>
  <si>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</si>
  <si>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Wykres 2.3b: Standaryzowany ogólnopolską strukturą wieku i płci współczynnik chorobowości choroby Alzheimera oraz chorób pokrewnych wg województwa zamieszkania pacjenta (2022 r.)</t>
  </si>
  <si>
    <t>Standaryzowany ogólnopolską strukturą wieku i płci współczynnik chorobowości</t>
  </si>
  <si>
    <t>Tabela 2.2: Zachorowalność rejestrowana choroby Alzheimera i chorób pokrewnych w Polsce (2014–2022)</t>
  </si>
  <si>
    <t>Liczba nowych przypadków ogółem (w tys.)</t>
  </si>
  <si>
    <t>Liczba nowych przypadków kobiety ( w tys.)</t>
  </si>
  <si>
    <t>Liczba nowych przypadków mężczyźni (w tys.)</t>
  </si>
  <si>
    <t>Współczynnik zachorowalności ogółem na 1000 osób w wieku 55+</t>
  </si>
  <si>
    <t>Współczynnik zachorowalności kobiet na 1000 osób w wieku 55+</t>
  </si>
  <si>
    <t>Współczynnik zachorowalności mężczyzn na 1000 osób w wieku 55+</t>
  </si>
  <si>
    <t>Współczynnik zachorowalności standaryzowany względem wieku i płci na 1000 osób w wieku 55+ (ogółem)</t>
  </si>
  <si>
    <t>Współczynnik zachorowalności standaryzowany względem wieku i płci na 1000 osób w wieku 55+ (kobiety)</t>
  </si>
  <si>
    <t>Współczynnik zachorowalności standaryzowany względem wieku i płci na 1000 osób w wieku 55+ (mężczyźni)</t>
  </si>
  <si>
    <t xml:space="preserve"> Zachorowalność rejestrowana została zdefiniowana jako liczba pacjentów, którzy w danym roku (t) mieli udzielone świadczenie z rozpoznaniem głównym lub współistniejącym F00–F01 (wszystkie rozszerzenia, także rozpoznania bez sprawozdanego rozszerzenia), F02.1–F02.3, G30 (wszystkie rozszerzenia, także rozpoznanie bez sprawozdanego rozszerzenia) oraz rozpoznania G31.0, G31.1, G31.8, G31.9 wg ICD-10 i nie mieli udzielonego takowego świadczenia w latach od t − 3 do t − 1. Informacje odnoszą się do osób, które w roku t miały 55 lat lub więcej.</t>
  </si>
  <si>
    <t>Wykres 2.4: Współczynnik zachorowalności rejestrowanej w 2014 i 2022 roku według grup wiekowych i płci</t>
  </si>
  <si>
    <t>Współczynnik zachorowalności rejestrowanej na 1000 osób</t>
  </si>
  <si>
    <t>Ogółem</t>
  </si>
  <si>
    <t>Tabela 2.3: Liczba pacjentów w wieku 55 lat i więcej (w tys.), którym udzielono świadczenie z rozpoznaniem głównym choroby Alzheimera lub chorób pokrewnych (2014–2022)</t>
  </si>
  <si>
    <t>Rodzaj świadczenia</t>
  </si>
  <si>
    <t>2015</t>
  </si>
  <si>
    <t>2016</t>
  </si>
  <si>
    <t>2017</t>
  </si>
  <si>
    <t>2018</t>
  </si>
  <si>
    <t>2020</t>
  </si>
  <si>
    <t>2021</t>
  </si>
  <si>
    <t>2022</t>
  </si>
  <si>
    <t>Podstawowa opieka zdrowotna</t>
  </si>
  <si>
    <t>Ambulatoryjne świadczenia specjalistyczne</t>
  </si>
  <si>
    <t>Ambulatoryjne świadczenia specjalistyczne: poradnie neurologiczne</t>
  </si>
  <si>
    <t>Leczenie szpitalne</t>
  </si>
  <si>
    <t>Leczenie szpitalne: oddziały neurologiczne</t>
  </si>
  <si>
    <t>Opieka psychiatryczna i leczenie uzależnień, CZP</t>
  </si>
  <si>
    <t>stacjonarne oddziały psychiatryczne</t>
  </si>
  <si>
    <t>psychiatryczne oddziały dzienne</t>
  </si>
  <si>
    <t>poradnie psychiatryczne</t>
  </si>
  <si>
    <t>ZLŚ</t>
  </si>
  <si>
    <t>psychiatryczny ZOL/ZPO</t>
  </si>
  <si>
    <t>Rehabilitacja lecznicza</t>
  </si>
  <si>
    <t>Ratownictwo medyczne</t>
  </si>
  <si>
    <t>Świadczenia pielęgnacyjne i opiekuńcze</t>
  </si>
  <si>
    <t>Łączna liczba unikalnych pacjentów</t>
  </si>
  <si>
    <t>Rozpoznanie choroby Alzheimera lub chorób pokrewnych - rozpoznania F00–F01 (wszystkie rozszerzenia, także 3-znakowe), F02.1–F02.3, G30 (wszystkie rozszerzenia, także 3-znakowe) oraz rozpoznania G31.0, G31.1, G31.8, G31.9 wg ICD-10</t>
  </si>
  <si>
    <t>poradnie neurologiczne—komórki o VIII cz. kodu resortowego 1220</t>
  </si>
  <si>
    <t>oddziały neurologiczne—komórki o VIII cz. kodu resortowego 4220</t>
  </si>
  <si>
    <t>stacjonarne oddziały psychiatryczne—komórki o VIII cz. kodu resortowego zaczynającego się od 47</t>
  </si>
  <si>
    <t>dzienne oddziały psychiatryczne—komórki o VIII cz. kodu resortowego zaczynającego się od 27</t>
  </si>
  <si>
    <t>poradnie psychiatryczne—komórki o VIII cz. kodu resortowego zaczynającego się od 17</t>
  </si>
  <si>
    <t>zespoły leczenia środowiskowego (ZLŚ)—komórki o VIII cz. kodu resortowego zaczynającego się od 273</t>
  </si>
  <si>
    <t>psychiatryczne zakład opiekuńczo lecznicze/ zakład pielęgnacyjno-opiekuńcze (ZOL/ZPO)—komórki o VIII cz. kodu resortowego 5162, 5172</t>
  </si>
  <si>
    <t>CZP - centrum zdrowia psychicznego</t>
  </si>
  <si>
    <t>Łączna liczba unikalnych pacjentów nie jest sumą pacjentów w poszczególnych rodzajach świadczeń, ponieważ w danym roku pacjent mógł mieć udzielone świadczenia w więcej niż jednym rodzaju</t>
  </si>
  <si>
    <t>Tabela 2.4: Liczba świadczeń (w tys.) sprawozdana z rozpoznaniem głównym choroby Alzheimera lub chorób pokrewnych dla osób w wieku 55 lat i więcej (2014–2022)</t>
  </si>
  <si>
    <t>Łącznie</t>
  </si>
  <si>
    <t>W przypadku psychiatrycznego ZOL/ZPO i rehabilitacji leczniczej liczba świadczeń definiowana jako łączna liczba dni, w których sprawozdano pacjentom świadczenia</t>
  </si>
  <si>
    <t>Tabela 2.5: Wartość świadczeń (w mln zł) udzielonych z rozpoznaniem głównym choroby Alzheimera lub chorób pokrewnych pacjentom w wieku 55 lat i więcej (2014–2022)</t>
  </si>
  <si>
    <t xml:space="preserve">Wartość refundacji świadczeń odnosi się do świadczeń, dla których wartość rozliczonego świadczenia była większa od zera lub świadczenie zostało sprawozdane w ramach ryczałtu PSZ (nie uwzględnia zatem m.in. świadczeń udzielonych w ramach stawki kapitacyjnej POZ, szpitalnych oddziałów ratunkowych). Nie uwzględnia również świadczeń udzielonych w ramach lecznictwa uzdrowiskowego. W przypadku świadczeń sprawozdanych w ramach ryczałtu systemu podstawowego szpitalnego zabezpieczenia świadczeń opieki zdrowotnej uwzględniono ich wartość w oparciu o cenę jednostki sprawozdawczej ryczałtu systemu zabezpieczenia obowiązującą w danym okresie rozliczeniowym.
</t>
  </si>
  <si>
    <t>Wykres 2.5: Średnia wartość refundacji świadczeń udzielonych z rozpoznaniem głównym choroby Alzheimera lub chorób pokrewnych w wieku 55 lat i więcej w przeliczeniu na pacjenta (2014–2022)</t>
  </si>
  <si>
    <t>Średnia wartość refundacji świadczeń na pacjenta</t>
  </si>
  <si>
    <t>Wartość odnosi się do świadczeń, dla których wartość refundacji świadczenia była większy od zera (zatem w jego obliczeniu nie uwzględniano informacji m.in. o osobach, które korzystały wyłącznie ze świadczeń w POZ rozliczanych w ramach stawki kapitacyjnej)</t>
  </si>
  <si>
    <t>Tabela 2.6: Liczba pacjentów w wieku 55 lat i więcej (w tys.), którym udzielono świadczenia z rozpoznaniem głównym o kodzie ICD-10 G30 (wraz z rozszerzeniami oraz bez wskazanego rozszerzenia) oraz G31.0, G31.1, G31.8 oraz G31.9 (2014–2022)</t>
  </si>
  <si>
    <t>Wykres 2.6: Średni czas hospitalizacji pacjentów w wieku 55 lat i więcej (w dniach) niezakończonych zgonem na oddziałach neurologicznych z rozpoznaniem głównym o kodzie ICD-10 G30 (wraz z rozszerzeniami oraz bez wskazanego rozszerzenia) oraz G31.0, G31.1, G31.8, G31.9 (2014–2022)</t>
  </si>
  <si>
    <t>Średni czas hospitalizacji (w dniach)</t>
  </si>
  <si>
    <t>Tabela 2.7: Liczba świadczeń (w tys.) z rozpoznaniem głównym o kodzie ICD-10 G30 (wraz z rozszerzeniami oraz bez wskazanego rozszerzenia) oraz G31.0, G31.1, G31.8, G31.9 udzielonych pacjentom w wieku 55 lat i więcej (2014–2022)</t>
  </si>
  <si>
    <t>Świadczenia odrębnie kontraktowane</t>
  </si>
  <si>
    <t>W przypadku rehabilitacji leczniczej liczba świadczeń definiowana jako łączna liczba dni, w których sprawozdano pacjentom świadczenia</t>
  </si>
  <si>
    <t>Tabela 2.8: Liczba pacjentów w wieku 55 lat i więcej(w tys.), którym udzielono świadczenie rozpoznaniem głównym o kodach ICD-10 F00–F01 (wraz z rozszerzeniami oraz bez wskazanego rozszerzenia) oraz F02.1–F02.3 (2014–2022)</t>
  </si>
  <si>
    <t>Tabela 2.9: Liczba świadczeń (w tys.) udzielonych z rozpoznaniem głównym o kodach ICD-10 F00–F01 (wraz z rozszerzeniami oraz bez wskazanego rozszerzenia) oraz F02.1–F02.3 pacjentom w wieku 55 lat i więcej (2014–2022)</t>
  </si>
  <si>
    <t>Tabela 2.10: Struktura świadczeń w poradniach psychiatrycznych udzielonych z rozpoznaniem głównym o kodach ICD-10 F00–F01 (wraz z rozszerzeniami oraz bez wskazanego rozszerzenia) oraz F02.1–F02.3 pacjentom w wieku 55 lat i więcej (2014–2022)</t>
  </si>
  <si>
    <t>Liczba świadczeń (w tys.)</t>
  </si>
  <si>
    <t>Porada lekarska</t>
  </si>
  <si>
    <t>Porada psychologiczna</t>
  </si>
  <si>
    <t>Psychoterapia</t>
  </si>
  <si>
    <t>Inne świadczenia</t>
  </si>
  <si>
    <t>Tabela 2.11: Struktura porad lekarskich w poradniach psychiatrycznych udzielonych z rozpoznaniem głównym o kodach ICD-10 F00–F01 (wraz z rozszerzeniami oraz bez wskazanego rozszerzenia) oraz F02.1–F02.3 pacjentom w wieku 55 lat i więcej (2014–2022)</t>
  </si>
  <si>
    <t>Liczba porad lekarskich (w tys.)</t>
  </si>
  <si>
    <t>Diagnostyczne</t>
  </si>
  <si>
    <t>Kontrolne</t>
  </si>
  <si>
    <t>Terapeutyczne</t>
  </si>
  <si>
    <t>Wykres 2.7: Liczba osobodni (w tys.) hospitalizacji na szpitalnych oddziałach psychiatrycznych z rozpoznaniem głównym o kodach ICD-10 F00–F01 (wraz z rozszerzeniami oraz bez wskazanego rozszerzenia) oraz F02.1–F02.3 pacjentów w wieku 55 lat i więcej (2014–2022)</t>
  </si>
  <si>
    <t>Liczba osobodni (w tys.)</t>
  </si>
  <si>
    <t>szpitalne oddziały psychiatryczne—komórki o VIII cz. kodu resortowego zaczynającego się od 47</t>
  </si>
  <si>
    <t>Tabela 2.12: Liczba pacjentów w wieku 55 lat i więcej (w tys.) wg miejsca udzielenia pierwszego świadczenia z rozpoznaniem głównym choroby Alzheimera lub chorób pokrewnych (2014–2022)</t>
  </si>
  <si>
    <t>POZ</t>
  </si>
  <si>
    <t>Neurologia</t>
  </si>
  <si>
    <t>Psychiatria</t>
  </si>
  <si>
    <t>Pozostałe</t>
  </si>
  <si>
    <t>Nowo rozpoznanego pacjenta w roku t zdefiniowano jako pacjenta, który w roku t miał udzielone świadczenie z rozpoznaniem głównym lub współistniejącym choroby Alzheimera lub chorób pokrewnych i w latach t − 3 do t − 1 nie miał udzielonego tego typu świadczenia. Informacje o miejscach udzielenia świadczenia obejmowały informacje o świadczeniach, dla których sprawozdano chorobę Alzheimera lub choroby pokrewne jako główną przyczynę udzielenia tego świadczenia</t>
  </si>
  <si>
    <t>Liczba pacjentów wzięta pod uwagę w analizie różni się dla poszczególnych lat od wartości przedstawionych w poprzedniej części raportu dot. zachorowalności (Tabela 2.2), ponieważ nie uwzględnia osób, które zgodnie z definicją zostały uznane za nowo rozpoznanych pacjentów w danym roku i w tym roku nie miały udzielonego ani jednego świadczenia z rozpoznaniem głównym choroby Alzheimera i chorób pokrewnych (w odróżnieniu do części dot. zachorowalności nie uwzględniono pacjentów, którzy przed danym rokiem nie mieli udzielanych świadczeń z rozpoznaniem choroby Alzheimera lub chorób pokrewnych i w danym roku choroba Alzheimera lub choroby pokrewne zostały wskazane jedynie jako współistniejące (dodatkowe, inne niż zasadnicze) rozpoznania przy udzielonych świadczeniach).</t>
  </si>
  <si>
    <t>Podstawowa opieka zdrowotna (POZ)—świadczenia udzielone w ramach rodzaju świadczeń podstawowa opieka zdrowotna,</t>
  </si>
  <si>
    <t>Neurologia—świadczenia sprawozdane w komórkach organizacyjnych o VIII części kodu resortowego 1220 (poradnia neurologiczna) lub 4220 (oddział neurologiczny)</t>
  </si>
  <si>
    <t>Psychiatria—świadczenia udzielone w ramach rodzaju świadczeń opieka psychiatryczna i leczenie uzależnień lub pilotażu CZP</t>
  </si>
  <si>
    <t>Pozostałe—świadczenia udzielone w rodzajach świadczeń innych niż POZ, opieka psychiatryczna i leczenie uzależnień, pilotaż CZP lub udzielone w innych komórkach niż poradnia neurologiczna i oddział neurologiczny</t>
  </si>
  <si>
    <t>Należy mieć na uwadze, że informacje odnoszą się do kolejnych świadczeń udzielonych z rozpoznaniem z choroby Alzheimera i chorób pokrewnych i nie są tożsame z postawieniem diagnozy a mogą np. wiązać się z podejrzeniem choroby lub kontynuacją leczenia</t>
  </si>
  <si>
    <t>Wykres 2.8: Struktura liczby pacjentów w wieku 55 lat i więcej wg miejsca udzielenia pierwszego świadczenia z rozpoznaniem głównym choroby Alzheimera lub chorób pokrewnych (2014–2022)</t>
  </si>
  <si>
    <t>Forma</t>
  </si>
  <si>
    <t>Tabela 2.13: Odsetek nowo rozpoznanych pacjentów w wieku 55 lat i więcej, którzy mieli udzielone świadczenie w ramach neurologii z rozpoznaniem głównym choroby Alzheimera lub chorób pokrewnych w ciągu pół roku i roku od daty udzielenia pierwszego świadczenia (2014–2022)</t>
  </si>
  <si>
    <t>Rok pierwszego świadczenia</t>
  </si>
  <si>
    <t>Świadczenie w neurologii w ciągu pół roku</t>
  </si>
  <si>
    <t>Świadczenie w neurologii w ciągu roku</t>
  </si>
  <si>
    <t>Tabela 2.14: Średnia liczba świadczeń udzielonych nowo rozpoznanym pacjentom w wieku 55 lat i więcej z rozpoznaniem choroby Alzheimera lub chorób pokrewnych w ramach neurologii w ciągu roku i pół roku od daty udzielenia pierwszego świadczenia z rozpoznaniem choroby Alzheimera i chorób pokrewnych (2014–2022)</t>
  </si>
  <si>
    <t>Średnia liczba świadczeń w neurologii w ciągu pół roku</t>
  </si>
  <si>
    <t>Średnia liczba świadczeń w neurologii w ciągu roku</t>
  </si>
  <si>
    <t>Informacje dotyczy nowo rozpoznanych osób, które w danym roku miały udzielone co najmniej jedno świadczenie z rozpoznaniem głównym choroby Alzheimera lub chorób pokrewnych w ramach neurologii i przeżyły analizowany okres czasu</t>
  </si>
  <si>
    <t>Wykres 2.9: Informacja o miejscach udzielenia dwóch pierwszych świadczeń z rozpoznaniem głównym choroby Alzheimera lub chorób pokrewnych dla nowo rozpoznanych pacjentów w wieku 55 lat i więcej w latach 2014–2022, którzy przeżyli przynajmniej rok od pierwszego świadczenia z rozpoznaniem głównym Alzheimera lub chorób pokrewnych i mieli w tym czasie udzielone przynajmniej dwa takie świadczenia</t>
  </si>
  <si>
    <t>Pierwsze świadczenie</t>
  </si>
  <si>
    <t>Drugie świadczenie</t>
  </si>
  <si>
    <t>Liczba pacjentów</t>
  </si>
  <si>
    <t>NEUROLOGIA</t>
  </si>
  <si>
    <t>POZOSTAŁE</t>
  </si>
  <si>
    <t>PSYCHIATRIA</t>
  </si>
  <si>
    <t>Wykres 2.10: Informacja o miejscach udzielenia drugiego i trzeciego świadczenia z rozpoznaniem głównym choroby Alzheimera lub chorób pokrewnych dla nowo rozpoznanych pacjentów w wieku 55 lat i więcej w latach 2014–2022, którzy przeżyli przynajmniej rok od pierwszego świadczenia z rozpoznaniem głównym Alzheimera lub chorób pokrewnych, mieli w tym czasie udzielone przynajmniej trzy takie świadczenia i pierwsze świadczenie mieli udzielone w POZ</t>
  </si>
  <si>
    <t>Trzecie świadczenie</t>
  </si>
  <si>
    <t>Wykres 2.11: Informacja o miejscach udzielenia drugiego i trzeciego świadczenia z rozpoznaniem głównym choroby Alzheimera i chorób pokrewnych dla nowo rozpoznanych pacjentów w wieku 55 lat i więcej w latach 2014–2022, którzy przeżyli przynajmniej rok od pierwszego świadczenia z rozpoznaniem głównym Alzheimera lub chorób pokrewnych, mieli w tym czasie udzielone przynajmniej trzy takie świadczenia i pierwsze świadczenie mieli udzielone w ramach neurologii</t>
  </si>
  <si>
    <t>Wykres 2.12: Informacja o miejscach udzielenia drugiego i trzeciego świadczenia z rozpoznaniem głównym choroby Alzheimera i chorób pokrewnych dla nowo rozpoznanych pacjentów w wieku 55 lat i więcej w latach 2014–2022, którzy przeżyli przynajmniej rok od pierwszego świadczenia z rozpoznaniem głównym Alzheimera lub chorób pokrewnych, mieli w tym czasie udzielone przynajmniej trzy takie świadczenia i pierwsze świadczenie mieli udzielone świadczenie w ramach psychiatrii</t>
  </si>
  <si>
    <t>Wykres 2.13: Liczba pacjentów w wieku 55 lat i więcej (w tys.), którzy co najmniej raz zrealizowali receptę na leki refundowane stosowane w leczeniu choroby Alzheimera (2014–2022)</t>
  </si>
  <si>
    <t>Liczba pacjentów (w tys.)</t>
  </si>
  <si>
    <t>Refundowane leki stosowane w leczeniu choroby Alzheimera—leki z substancją czynną donepezili hydrochloridum, rivastigminum</t>
  </si>
  <si>
    <t>Wykres 2.14: Struktura wiekowa pacjentów realizujących recepty na leki refundowane stosowane w leczeniu choroby Alzheimera (2014–2022)</t>
  </si>
  <si>
    <t>Odsetek wykupionych opakowań</t>
  </si>
  <si>
    <t>Wykres 2.15a: Liczba kobiet w wieku 55 lat i więcej realizujących recepty na refundowane leki stosowane w leczeniu choroby Alzheimera w przeliczeniu na 10 tys. kobiet w wieku 55+ wg województwa zamieszkania pacjenta (2022)</t>
  </si>
  <si>
    <t>Współczynnik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</si>
  <si>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</si>
  <si>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</si>
  <si>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</si>
  <si>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</si>
  <si>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</si>
  <si>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</si>
  <si>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</si>
  <si>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</si>
  <si>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</si>
  <si>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</si>
  <si>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</si>
  <si>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</si>
  <si>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</si>
  <si>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</si>
  <si>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</si>
  <si>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</si>
  <si>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Źródło: Opracowanie własne na podstawie danych GUS, NFZ</t>
  </si>
  <si>
    <t>Wykres 2.15b: Liczba mężczyzn w wieku 55 lat i więcej realizujących recepty na refundowane leki stosowane w leczeniu choroby Alzheimera w przeliczeniu na 10 tys. mężczyzn w wieku 55+ wg województwa zamieszkania pacjenta (2022)</t>
  </si>
  <si>
    <t>Wykres 2.16: Liczba pacjentów w wieku 55 lat i więcej (w tys.) rozpoczynających refundowaną farmakoterapię, definiowanych jako osoby, które w danym roku zrealizowały receptę na lek refundowany stosowany w leczeniu choroby Alzheimera i które nie zrealizowały takiej recepty w roku poprzednim (2014–2022)</t>
  </si>
  <si>
    <t>Liczba nowych pacjentów (w tys.)</t>
  </si>
  <si>
    <t>Pacjent rozpoczynających farmakoterapię—osoba, która danym roku zrealizowała receptę na lek refundowany stosowany w leczeniu choroby Alzheimera i które nie zrealizowała takiej recepty w roku poprzednim</t>
  </si>
  <si>
    <t>Wykres 2.17: Wartość refundacji oraz dopłat pacjentów (w mln zł) dla refundowanych leków stosowanych w leczeniu choroby Alzheimera wykupionych dla pacjentów w wieku 55 lat i więcej (2014–2022)</t>
  </si>
  <si>
    <t>Refundacja</t>
  </si>
  <si>
    <t>Dopłata pacjenta</t>
  </si>
  <si>
    <t>Wykres 2.18: Średnia roczna wartość refundacji oraz dopłat na pacjenta, dla refundowanych leków stosowanych w leczeniu choroby Alzheimera wykupionych dla osób w wieku 55 lat i więcej (2014–2022)</t>
  </si>
  <si>
    <t>Tabela 2.15: Realizacja recept na refundowane leki stosowane w leczeniu choroby Alzheimera dla osób w wieku 55 lat i więcej (2014–2022)</t>
  </si>
  <si>
    <t>Wartość refundacji (w mln zł)</t>
  </si>
  <si>
    <t>Wartość dopłat (w mln zł)</t>
  </si>
  <si>
    <t>Liczba opakowań (w tys.)</t>
  </si>
  <si>
    <t>Liczba DDD (w mln)</t>
  </si>
  <si>
    <t>Tabela 2.16: Realizacja recept na refundowane leki stosowane w leczeniu choroby Alzheimera w ramach programu Leki 75+ (2014–2022)</t>
  </si>
  <si>
    <t>Wykres 2.19: Średnia roczna wartość refundacji (w zł) dla leków stosowanych w leczeniu choroby Alzheimera dla osób w wieku 55 lat i więcej w przeliczeniu na pacjenta wg województwa zamieszkania pacjenta (2022)</t>
  </si>
  <si>
    <t>Średnia wartość refundacji na pacjenta</t>
  </si>
  <si>
    <t>Wykres 2.20: Liczba pacjentów w wieku 55 lat i więcej (w tys.), którzy wykupili refundowane leki stosowane w leczeniu choroby Alzheimera, w podziale na substancje czynne (2014–2022)</t>
  </si>
  <si>
    <t>Substancja</t>
  </si>
  <si>
    <t>Rivastigminum</t>
  </si>
  <si>
    <t>Donepezili hydrochloridum</t>
  </si>
  <si>
    <t>Wykres 2.21: Procentowa zmiana liczby pacjentów w wieku 55 lat i więcej realizujących recepty na leki refundowane stosowane w leczeniu choroby Alzheimera w porównaniu do 2013 r. wg substancji czynnych leków (2013–2022)</t>
  </si>
  <si>
    <t>Zmiana</t>
  </si>
  <si>
    <t>2013</t>
  </si>
  <si>
    <t>Wykres 2.22: Liczba wykupionych opakowań (w tys.) refundowanych leków stosowanych w leczeniu choroby Alzheimera w podziale na substancje czynne dla osób w wieku 55 lat i więcej (2014–2022)</t>
  </si>
  <si>
    <t>Wykres 2.23: Liczba DDD (w mln) dla wykupionych refundowanych leków stosowanych w leczeniu choroby Alzheimera w podziale na substancje czynne dla osób w wieku 55 lat i więcej (2014–2022)</t>
  </si>
  <si>
    <t>Wykres 2.24: Wartość refundacji (w mln zł) leków stosowanych w leczeniu choroby Alzheimera w podziale na substancje czynne leku dla osób w wieku 55 lat i więcej (2014–2022)</t>
  </si>
  <si>
    <t>Tabela 2.17: Wartości refundacji oraz dopłat pacjentów wraz z liczbą wykupionych opakowań i DDD dla refundowanych leków stosowanych w leczeniu choroby Alzheimera, w podziale na substancje czynne leków dla osób w wieku 55 lat i więcej (2022)</t>
  </si>
  <si>
    <t>Substancja czynna</t>
  </si>
  <si>
    <t>Wykres 2.25a: Struktura wieku pacjentów realizujących recepty na leki (refundowane i nierefundowane) stosowane w leczeniu choroby Alzheimera, mężczyźni (2019-2022)</t>
  </si>
  <si>
    <t>Źródło: Opracowanie własne na podstawie danych CeZ</t>
  </si>
  <si>
    <t>Leki stosowane w leczeniu choroby Alzheimera—leki z substancją czynną donepezili hydrochloridum, rivastigminum, memantinum</t>
  </si>
  <si>
    <t>Wykres 2.25b: Struktura wieku pacjentów realizujących recepty na leki (refundowane i nierefundowane) stosowane w leczeniu choroby Alzheimera, kobiety (2019-2022)</t>
  </si>
  <si>
    <t>Wykres 2.26a: Liczba wykupionych opakowań leków (refundowanych i nierefundowanych) stosowanych w leczeniu choroby Alzheimera w przeliczeniu na osobę, mężczyźni (2019-2022)</t>
  </si>
  <si>
    <t>Liczba opakowań na osobę</t>
  </si>
  <si>
    <t>Wykres 2.26b: Liczba wykupionych opakowań leków (refundowanych i nierefundowanych) stosowanych w leczeniu choroby Alzheimera w przeliczeniu na osobę, kobiety (2019-2022)</t>
  </si>
  <si>
    <t>Wykres 2.27: Struktura opakowań leków (refundowanych i nierefundowanych) stosowanych w leczeniu choroby Alzheimera wg poziomów odpłatności - dotyczy osób w wieku 55 lat i więcej (2022)</t>
  </si>
  <si>
    <t>Kod odpłatności</t>
  </si>
  <si>
    <t>Stopień odpłatności</t>
  </si>
  <si>
    <t>100% - leki na listach refundacyjnych</t>
  </si>
  <si>
    <t>100% - leki nierefundowane</t>
  </si>
  <si>
    <t>Leki refundowane</t>
  </si>
  <si>
    <t>Tabela 2.18: Liczba pacjentów w wieku 55 lat i więcej i liczba sprzedanych opakowań na leki stosowane w leczeniu choroby Alzheimera (refundowane i nierefundowane) wg substancji czynnych (2022)</t>
  </si>
  <si>
    <t>Wartość sprzedaży (w mln zł)</t>
  </si>
  <si>
    <t>Memantini hydrochloridum</t>
  </si>
  <si>
    <t>Wykres 2.28: Odsetek wartości refundacji oraz wartości dopłat pacjentów do leków (refundowanych i nierefundowanych) stosowanych w leczeniu choroby Alzheimera w podziale na substancję czynną leku (dotyczy osób w wieku 55 lat i więcej, 2022)</t>
  </si>
  <si>
    <t>Kategoria</t>
  </si>
  <si>
    <t>Odsetek dopłat</t>
  </si>
  <si>
    <t>Odsetek refundacji</t>
  </si>
  <si>
    <t>Leki z substancją czynną memantininum w analizowanych latach nie znajdowały się na wykazie leków refundowanych, jednak mogły zostać zrefundowane w przypadku pacjentów ze specjalnymi uprawnieniami, np. IB—inwalida wojenny</t>
  </si>
  <si>
    <t>Wykres 2.29: Rozkład wieku badanej populacji pacjentów w zakresie ciągłości farmakoterapii lekami z substancją czynną donepezili hydrochloridum</t>
  </si>
  <si>
    <t>Analizę ciągłości farmakoterapii przeprowadzono wg metodyki opisanej w raporcie "NFZ o zdrowiu: Choroba Alzheimera i choroby pokrewne" (rozdział 2.4.1), przyjmując rok 2021 jako bazowy okres obserwacji (=realizacji pierwszej recepty).</t>
  </si>
  <si>
    <t>Wykres 2.30: Struktura proporcji pokrycia dni w leczeniu substancją donepezili hydrochloridum w zależności od grupy wiekowej</t>
  </si>
  <si>
    <t>PDC</t>
  </si>
  <si>
    <t>Liczba osób</t>
  </si>
  <si>
    <t>80% i więcej</t>
  </si>
  <si>
    <t>[60%,80%)</t>
  </si>
  <si>
    <t>[40%,60%)</t>
  </si>
  <si>
    <t>[20%,40%)</t>
  </si>
  <si>
    <t>&lt;20%</t>
  </si>
  <si>
    <t>Tabela 2.19: Odsetki osób w poszczególnych grupach wiekowych według długości leczenia (w dniach) liczonej od daty realizacji pierwszej recepty w 2021 roku na refundowany lek z substancją czynną donepezilum do daty realizacji ostatniej recepty w okresie obserwacji przesuniętej o liczbę DDD leków wynikającej z realizacji ostatniej recepty</t>
  </si>
  <si>
    <t>Poniżej 90 dni</t>
  </si>
  <si>
    <t>90-179 dni</t>
  </si>
  <si>
    <t>180-269 dni</t>
  </si>
  <si>
    <t>270-364 dni</t>
  </si>
  <si>
    <t>365 dni i więcej</t>
  </si>
  <si>
    <t>Wykres 2.31: Rozkład wieku badanej populacji pacjentów w zakresie ciągłości farmakoterapii lekami z substancją czynną rivastigminum w postaci innej niż plastry</t>
  </si>
  <si>
    <t>Wykres 2.32: Struktura proporcji pokrycia dni w leczeniu substancją rivastigminum w postaci innej niż plastry w zależności od grupy wiekowej</t>
  </si>
  <si>
    <t>Tabela 2.20: Odsetki osób w poszczególnych grupach wiekowych według długości leczenia (w dniach) liczonej od daty realizacji pierwszej recepty w 2021 roku na refundowany lek z substancją czynną rivastigminum w postaci innej niż plastry do daty realizacji ostatniej recepty w okresie obserwacji przesuniętej o liczbę DDD leków wynikającej z realizacji ostatniej recepty</t>
  </si>
  <si>
    <t>Wykres 2.33: Rozkład wieku badanej populacji pacjentów w zakresie ciągłości farmakoterapii lekami z substancją czynną rivastigminum w postaci plastrów</t>
  </si>
  <si>
    <t>Wykres 2.34: Struktura proporcji pokrycia dni w leczeniu substancją rivastigminum w postaci plastrów w zależności od grupy wiekowej</t>
  </si>
  <si>
    <t>Tabela 2.21: Odsetki osób w poszczególnych grupach wiekowych według długości leczenia (w dniach) liczonej od daty realizacji pierwszej recepty w 2021 roku na refundowany lek z substancją czynną rivastigminum w postaci plastrów do daty realizacji ostatniej recepty w okresie obserwacji przesuniętej o liczbę DDD leków wynikającej z realizacji ostatniej recepty</t>
  </si>
  <si>
    <t>Wykres 2.35: Liczba pacjentów w wieku 55 lat i więcej realizujących zlecenia na wyroby medyczne z powodu choroby Alzheimera lub chorób pokrewnych w latach 2014–2022</t>
  </si>
  <si>
    <t>Rozpoznanie choroby Alzheimera lub chorób pokrewnych—rozpoznania F00–F01 (wszystkie rozszerzenia, także 3-znakowe), F02.1–F02.3, G30 (wszystkie rozszerzenia, także 3-znakowe) oraz rozpoznania G31.0, G31.1, G31.8, G31.9 wg ICD-10</t>
  </si>
  <si>
    <t>Wykres 2.36: Standaryzowany strukturą wiekowo-płciową Polski w 2022 r. odsetek osób w wieku 55 lat i więcej, które w 2022 r. zrealizowały zlecenie na co najmniej jeden wyrób medyczny z powodu choroby Alzheimera lub chorób pokrewnych</t>
  </si>
  <si>
    <t>Współczynnik standaryzowany</t>
  </si>
  <si>
    <t>Wykres 2.37: Łączna wartość zrealizowanych refundowanych wyrobów medycznych z powodu choroby Alzheimera lub chorób pokrewnych dla osób w wieku 55 lat i więcej w latach 2014–2022 w podziale na część refundacji i sumę dopłat pacjentów</t>
  </si>
  <si>
    <t>Rodzaj</t>
  </si>
  <si>
    <t>Wartość (w mln zł)</t>
  </si>
  <si>
    <t>Dopłata pacjentów</t>
  </si>
  <si>
    <t>Tabela 2.22: Kwoty refundacji oraz dopłat pacjentów dla poszczególnych wyrobów medycznych wykupionych w związku z rozpoznaniem choroby Alzheimera lub chorób pokrewnych (dotyczy osób w wieku 55 lat i więcej; 2014, 2022)</t>
  </si>
  <si>
    <t>Wyrób medyczny</t>
  </si>
  <si>
    <t>Liczba pacjentów (w tys.) (2014)</t>
  </si>
  <si>
    <t>Kwota refundacji (w tys. zł) (2014)</t>
  </si>
  <si>
    <t>Kwota dopłat pacjentów (w tys. zł) (2014)</t>
  </si>
  <si>
    <t>Liczba pacjentów (w tys.) (2022)</t>
  </si>
  <si>
    <t>Kwota refundacji (w tys. zł) (2022)</t>
  </si>
  <si>
    <t>Kwota dopłat pacjentów (w tys. zł) (2022)</t>
  </si>
  <si>
    <t>Pieluchomajtki</t>
  </si>
  <si>
    <t>Materace i poduszki przeciwodleżynowe</t>
  </si>
  <si>
    <t>Cewniki</t>
  </si>
  <si>
    <t>Worki do zbiórki moczu</t>
  </si>
  <si>
    <t>Wyroby ułatwiające chodzenie (kule, balkoniki, podpórki, trójnogi, czwórnogi)</t>
  </si>
  <si>
    <t>Wózki inwalidzkie</t>
  </si>
  <si>
    <t>pozostałe</t>
  </si>
  <si>
    <t>Sprzęt stomijny</t>
  </si>
  <si>
    <t>Rozpoznanie choroby Alzheimera lub chorób pokrewnych—rozpoznania F00–F01 (wszystkie rozszerzenia, także 3-znakowe), F02.1–F02.3, G30 (wszystkie rozszerzenia, także 3-znakowe) oraz rozpoznania G31.0, G31.1, G31.8, G31.9 wg ICD-11</t>
  </si>
  <si>
    <t>Łączna liczba pacjentów nie jest sumą pacjentów dla poszczególnych wyrobów, ponieważ pacjent w danym roku mógł zrealizować zlecenia na różne wyroby</t>
  </si>
  <si>
    <t>Wykres 2.38: Średnia roczna wartość refundacji i dopłat pacjentów dla refundowanych wyrobów medycznych zrealizowanych z powodu choroby Alzheimera lub chorób pokrewnych w przeliczeniu na 1 osobę w podziale na kwotę refundacji i dopłatę pacjentów (dotyczy osób w wieku 55 lat i więcej; lata 2014, 2022)</t>
  </si>
  <si>
    <t>Wartość</t>
  </si>
  <si>
    <t>Średnia roczna kwota refundacji na 1 osobę (zł)</t>
  </si>
  <si>
    <t>Średnia roczna kwota dopłaty na 1 osobę (zł)</t>
  </si>
  <si>
    <t>Liczba (w tys.)</t>
  </si>
  <si>
    <t>Górny przedział (w tys.)</t>
  </si>
  <si>
    <t>Dolny przedział (w tys.)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</si>
</sst>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#,##0\ &quot;zł&quot;"/>
  </numFmts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1">
    <xf numFmtId="0" fontId="0" fillId="0" borderId="0" xfId="0"/>
    <xf numFmtId="0" fontId="1" fillId="0" borderId="1" xfId="0" applyFont="1" applyBorder="1"/>
    <xf numFmtId="164" fontId="1" fillId="0" borderId="2" xfId="0" applyNumberFormat="1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1" fillId="0" borderId="6" xfId="0" applyFont="1" applyBorder="1"/>
    <xf numFmtId="164" fontId="1" fillId="0" borderId="7" xfId="0" applyNumberFormat="1" applyFont="1" applyBorder="1"/>
    <xf numFmtId="0" fontId="1" fillId="0" borderId="8" xfId="0" applyFont="1" applyBorder="1"/>
    <xf numFmtId="0" fontId="3" fillId="0" borderId="0" xfId="0" applyFont="1"/>
    <xf numFmtId="164" fontId="1" fillId="0" borderId="2" xfId="0" applyNumberFormat="1" applyFont="1" applyBorder="1"/>
    <xf numFmtId="164" fontId="1" fillId="0" borderId="7" xfId="0" applyNumberFormat="1" applyFont="1" applyBorder="1"/>
    <xf numFmtId="165" fontId="1" fillId="0" borderId="0" xfId="0" applyNumberFormat="1" applyFont="1"/>
    <xf numFmtId="164" fontId="1" fillId="0" borderId="0" xfId="0" applyNumberFormat="1" applyFont="1"/>
    <xf numFmtId="164" fontId="1" fillId="0" borderId="2" xfId="0" applyNumberFormat="1" applyFont="1" applyBorder="1"/>
    <xf numFmtId="165" fontId="1" fillId="0" borderId="8" xfId="0" applyNumberFormat="1" applyFont="1" applyBorder="1"/>
    <xf numFmtId="164" fontId="1" fillId="0" borderId="8" xfId="0" applyNumberFormat="1" applyFont="1" applyBorder="1"/>
    <xf numFmtId="164" fontId="1" fillId="0" borderId="7" xfId="0" applyNumberFormat="1" applyFont="1" applyBorder="1"/>
    <xf numFmtId="165" fontId="1" fillId="0" borderId="0" xfId="0" applyNumberFormat="1" applyFont="1"/>
    <xf numFmtId="164" fontId="1" fillId="0" borderId="0" xfId="0" applyNumberFormat="1" applyFont="1"/>
    <xf numFmtId="164" fontId="1" fillId="0" borderId="2" xfId="0" applyNumberFormat="1" applyFont="1" applyBorder="1"/>
    <xf numFmtId="165" fontId="1" fillId="0" borderId="8" xfId="0" applyNumberFormat="1" applyFont="1" applyBorder="1"/>
    <xf numFmtId="164" fontId="1" fillId="0" borderId="8" xfId="0" applyNumberFormat="1" applyFont="1" applyBorder="1"/>
    <xf numFmtId="164" fontId="1" fillId="0" borderId="7" xfId="0" applyNumberFormat="1" applyFont="1" applyBorder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7" xfId="0" applyNumberFormat="1" applyFont="1" applyBorder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7" xfId="0" applyNumberFormat="1" applyFont="1" applyBorder="1"/>
    <xf numFmtId="0" fontId="1" fillId="0" borderId="2" xfId="0" applyFont="1" applyBorder="1"/>
    <xf numFmtId="0" fontId="1" fillId="0" borderId="7" xfId="0" applyFont="1" applyBorder="1"/>
    <xf numFmtId="165" fontId="1" fillId="0" borderId="0" xfId="0" applyNumberFormat="1" applyFont="1"/>
    <xf numFmtId="165" fontId="1" fillId="0" borderId="8" xfId="0" applyNumberFormat="1" applyFont="1" applyBorder="1"/>
    <xf numFmtId="165" fontId="1" fillId="0" borderId="2" xfId="0" applyNumberFormat="1" applyFont="1" applyBorder="1"/>
    <xf numFmtId="165" fontId="1" fillId="0" borderId="7" xfId="0" applyNumberFormat="1" applyFont="1" applyBorder="1"/>
    <xf numFmtId="3" fontId="1" fillId="0" borderId="0" xfId="0" applyNumberFormat="1" applyFont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7" xfId="0" applyNumberFormat="1" applyFont="1" applyBorder="1"/>
    <xf numFmtId="165" fontId="1" fillId="0" borderId="0" xfId="0" applyNumberFormat="1" applyFont="1"/>
    <xf numFmtId="165" fontId="1" fillId="0" borderId="8" xfId="0" applyNumberFormat="1" applyFont="1" applyBorder="1"/>
    <xf numFmtId="4" fontId="1" fillId="0" borderId="2" xfId="0" applyNumberFormat="1" applyFont="1" applyBorder="1"/>
    <xf numFmtId="4" fontId="1" fillId="0" borderId="7" xfId="0" applyNumberFormat="1" applyFont="1" applyBorder="1"/>
    <xf numFmtId="165" fontId="1" fillId="0" borderId="0" xfId="0" applyNumberFormat="1" applyFont="1"/>
    <xf numFmtId="165" fontId="1" fillId="0" borderId="8" xfId="0" applyNumberFormat="1" applyFont="1" applyBorder="1"/>
    <xf numFmtId="165" fontId="1" fillId="0" borderId="0" xfId="0" applyNumberFormat="1" applyFont="1"/>
    <xf numFmtId="165" fontId="1" fillId="0" borderId="8" xfId="0" applyNumberFormat="1" applyFont="1" applyBorder="1"/>
    <xf numFmtId="165" fontId="1" fillId="0" borderId="2" xfId="0" applyNumberFormat="1" applyFont="1" applyBorder="1"/>
    <xf numFmtId="165" fontId="1" fillId="0" borderId="7" xfId="0" applyNumberFormat="1" applyFont="1" applyBorder="1"/>
    <xf numFmtId="164" fontId="1" fillId="0" borderId="2" xfId="0" applyNumberFormat="1" applyFont="1" applyBorder="1"/>
    <xf numFmtId="164" fontId="1" fillId="0" borderId="7" xfId="0" applyNumberFormat="1" applyFont="1" applyBorder="1"/>
    <xf numFmtId="3" fontId="1" fillId="0" borderId="2" xfId="0" applyNumberFormat="1" applyFont="1" applyBorder="1"/>
    <xf numFmtId="3" fontId="1" fillId="0" borderId="7" xfId="0" applyNumberFormat="1" applyFont="1" applyBorder="1"/>
    <xf numFmtId="3" fontId="1" fillId="0" borderId="2" xfId="0" applyNumberFormat="1" applyFont="1" applyBorder="1"/>
    <xf numFmtId="3" fontId="1" fillId="0" borderId="7" xfId="0" applyNumberFormat="1" applyFont="1" applyBorder="1"/>
    <xf numFmtId="3" fontId="1" fillId="0" borderId="2" xfId="0" applyNumberFormat="1" applyFont="1" applyBorder="1"/>
    <xf numFmtId="3" fontId="1" fillId="0" borderId="7" xfId="0" applyNumberFormat="1" applyFont="1" applyBorder="1"/>
    <xf numFmtId="3" fontId="1" fillId="0" borderId="2" xfId="0" applyNumberFormat="1" applyFont="1" applyBorder="1"/>
    <xf numFmtId="3" fontId="1" fillId="0" borderId="7" xfId="0" applyNumberFormat="1" applyFont="1" applyBorder="1"/>
    <xf numFmtId="165" fontId="1" fillId="0" borderId="2" xfId="0" applyNumberFormat="1" applyFont="1" applyBorder="1"/>
    <xf numFmtId="165" fontId="1" fillId="0" borderId="7" xfId="0" applyNumberFormat="1" applyFont="1" applyBorder="1"/>
    <xf numFmtId="164" fontId="1" fillId="0" borderId="2" xfId="0" applyNumberFormat="1" applyFont="1" applyBorder="1"/>
    <xf numFmtId="164" fontId="1" fillId="0" borderId="7" xfId="0" applyNumberFormat="1" applyFont="1" applyBorder="1"/>
    <xf numFmtId="165" fontId="1" fillId="0" borderId="2" xfId="0" applyNumberFormat="1" applyFont="1" applyBorder="1"/>
    <xf numFmtId="165" fontId="1" fillId="0" borderId="7" xfId="0" applyNumberFormat="1" applyFont="1" applyBorder="1"/>
    <xf numFmtId="165" fontId="1" fillId="0" borderId="0" xfId="0" applyNumberFormat="1" applyFont="1"/>
    <xf numFmtId="165" fontId="1" fillId="0" borderId="2" xfId="0" applyNumberFormat="1" applyFont="1" applyBorder="1"/>
    <xf numFmtId="165" fontId="1" fillId="0" borderId="8" xfId="0" applyNumberFormat="1" applyFont="1" applyBorder="1"/>
    <xf numFmtId="165" fontId="1" fillId="0" borderId="7" xfId="0" applyNumberFormat="1" applyFont="1" applyBorder="1"/>
    <xf numFmtId="165" fontId="1" fillId="0" borderId="0" xfId="0" applyNumberFormat="1" applyFont="1"/>
    <xf numFmtId="165" fontId="1" fillId="0" borderId="2" xfId="0" applyNumberFormat="1" applyFont="1" applyBorder="1"/>
    <xf numFmtId="165" fontId="1" fillId="0" borderId="8" xfId="0" applyNumberFormat="1" applyFont="1" applyBorder="1"/>
    <xf numFmtId="165" fontId="1" fillId="0" borderId="7" xfId="0" applyNumberFormat="1" applyFont="1" applyBorder="1"/>
    <xf numFmtId="165" fontId="1" fillId="0" borderId="2" xfId="0" applyNumberFormat="1" applyFont="1" applyBorder="1"/>
    <xf numFmtId="165" fontId="1" fillId="0" borderId="7" xfId="0" applyNumberFormat="1" applyFont="1" applyBorder="1"/>
    <xf numFmtId="165" fontId="1" fillId="0" borderId="0" xfId="0" applyNumberFormat="1" applyFont="1"/>
    <xf numFmtId="165" fontId="1" fillId="0" borderId="8" xfId="0" applyNumberFormat="1" applyFont="1" applyBorder="1"/>
    <xf numFmtId="165" fontId="1" fillId="0" borderId="2" xfId="0" applyNumberFormat="1" applyFont="1" applyBorder="1"/>
    <xf numFmtId="165" fontId="1" fillId="0" borderId="7" xfId="0" applyNumberFormat="1" applyFont="1" applyBorder="1"/>
    <xf numFmtId="165" fontId="1" fillId="0" borderId="2" xfId="0" applyNumberFormat="1" applyFont="1" applyBorder="1"/>
    <xf numFmtId="165" fontId="1" fillId="0" borderId="7" xfId="0" applyNumberFormat="1" applyFont="1" applyBorder="1"/>
    <xf numFmtId="165" fontId="1" fillId="0" borderId="0" xfId="0" applyNumberFormat="1" applyFont="1"/>
    <xf numFmtId="4" fontId="1" fillId="0" borderId="2" xfId="0" applyNumberFormat="1" applyFont="1" applyBorder="1"/>
    <xf numFmtId="165" fontId="1" fillId="0" borderId="8" xfId="0" applyNumberFormat="1" applyFont="1" applyBorder="1"/>
    <xf numFmtId="4" fontId="1" fillId="0" borderId="7" xfId="0" applyNumberFormat="1" applyFont="1" applyBorder="1"/>
    <xf numFmtId="164" fontId="1" fillId="0" borderId="2" xfId="0" applyNumberFormat="1" applyFont="1" applyBorder="1"/>
    <xf numFmtId="164" fontId="1" fillId="0" borderId="7" xfId="0" applyNumberFormat="1" applyFont="1" applyBorder="1"/>
    <xf numFmtId="3" fontId="1" fillId="0" borderId="2" xfId="0" applyNumberFormat="1" applyFont="1" applyBorder="1"/>
    <xf numFmtId="3" fontId="1" fillId="0" borderId="7" xfId="0" applyNumberFormat="1" applyFont="1" applyBorder="1"/>
    <xf numFmtId="3" fontId="1" fillId="0" borderId="0" xfId="0" applyNumberFormat="1" applyFont="1"/>
    <xf numFmtId="164" fontId="1" fillId="0" borderId="2" xfId="0" applyNumberFormat="1" applyFont="1" applyBorder="1"/>
    <xf numFmtId="3" fontId="1" fillId="0" borderId="8" xfId="0" applyNumberFormat="1" applyFont="1" applyBorder="1"/>
    <xf numFmtId="164" fontId="1" fillId="0" borderId="7" xfId="0" applyNumberFormat="1" applyFont="1" applyBorder="1"/>
    <xf numFmtId="3" fontId="1" fillId="0" borderId="0" xfId="0" applyNumberFormat="1" applyFont="1"/>
    <xf numFmtId="3" fontId="1" fillId="0" borderId="2" xfId="0" applyNumberFormat="1" applyFont="1" applyBorder="1"/>
    <xf numFmtId="3" fontId="1" fillId="0" borderId="7" xfId="0" applyNumberFormat="1" applyFont="1" applyBorder="1"/>
    <xf numFmtId="3" fontId="1" fillId="0" borderId="0" xfId="0" applyNumberFormat="1" applyFont="1"/>
    <xf numFmtId="164" fontId="1" fillId="0" borderId="2" xfId="0" applyNumberFormat="1" applyFont="1" applyBorder="1"/>
    <xf numFmtId="3" fontId="1" fillId="0" borderId="8" xfId="0" applyNumberFormat="1" applyFont="1" applyBorder="1"/>
    <xf numFmtId="164" fontId="1" fillId="0" borderId="7" xfId="0" applyNumberFormat="1" applyFont="1" applyBorder="1"/>
    <xf numFmtId="3" fontId="1" fillId="0" borderId="0" xfId="0" applyNumberFormat="1" applyFont="1"/>
    <xf numFmtId="3" fontId="1" fillId="0" borderId="2" xfId="0" applyNumberFormat="1" applyFont="1" applyBorder="1"/>
    <xf numFmtId="3" fontId="1" fillId="0" borderId="7" xfId="0" applyNumberFormat="1" applyFont="1" applyBorder="1"/>
    <xf numFmtId="3" fontId="1" fillId="0" borderId="0" xfId="0" applyNumberFormat="1" applyFont="1"/>
    <xf numFmtId="164" fontId="1" fillId="0" borderId="2" xfId="0" applyNumberFormat="1" applyFont="1" applyBorder="1"/>
    <xf numFmtId="3" fontId="1" fillId="0" borderId="8" xfId="0" applyNumberFormat="1" applyFont="1" applyBorder="1"/>
    <xf numFmtId="164" fontId="1" fillId="0" borderId="7" xfId="0" applyNumberFormat="1" applyFont="1" applyBorder="1"/>
    <xf numFmtId="3" fontId="1" fillId="0" borderId="0" xfId="0" applyNumberFormat="1" applyFont="1"/>
    <xf numFmtId="3" fontId="1" fillId="0" borderId="2" xfId="0" applyNumberFormat="1" applyFont="1" applyBorder="1"/>
    <xf numFmtId="3" fontId="1" fillId="0" borderId="7" xfId="0" applyNumberFormat="1" applyFont="1" applyBorder="1"/>
    <xf numFmtId="4" fontId="1" fillId="0" borderId="2" xfId="0" applyNumberFormat="1" applyFont="1" applyBorder="1"/>
    <xf numFmtId="4" fontId="1" fillId="0" borderId="7" xfId="0" applyNumberFormat="1" applyFont="1" applyBorder="1"/>
    <xf numFmtId="165" fontId="1" fillId="0" borderId="0" xfId="0" applyNumberFormat="1" applyFont="1"/>
    <xf numFmtId="165" fontId="1" fillId="0" borderId="8" xfId="0" applyNumberFormat="1" applyFont="1" applyBorder="1"/>
    <xf numFmtId="9" fontId="0" fillId="0" borderId="0" xfId="1" applyFont="1"/>
    <xf numFmtId="9" fontId="1" fillId="0" borderId="2" xfId="1" applyFont="1" applyBorder="1"/>
    <xf numFmtId="9" fontId="1" fillId="0" borderId="7" xfId="1" applyFont="1" applyBorder="1"/>
    <xf numFmtId="164" fontId="0" fillId="0" borderId="0" xfId="1" applyNumberFormat="1" applyFont="1"/>
    <xf numFmtId="164" fontId="1" fillId="0" borderId="2" xfId="1" applyNumberFormat="1" applyFont="1" applyBorder="1"/>
    <xf numFmtId="164" fontId="1" fillId="0" borderId="8" xfId="1" applyNumberFormat="1" applyFont="1" applyBorder="1"/>
    <xf numFmtId="164" fontId="1" fillId="0" borderId="7" xfId="1" applyNumberFormat="1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6" fontId="0" fillId="0" borderId="0" xfId="0" applyNumberFormat="1"/>
    <xf numFmtId="166" fontId="1" fillId="0" borderId="2" xfId="0" applyNumberFormat="1" applyFont="1" applyBorder="1"/>
    <xf numFmtId="166" fontId="1" fillId="0" borderId="8" xfId="0" applyNumberFormat="1" applyFont="1" applyBorder="1"/>
    <xf numFmtId="166" fontId="1" fillId="0" borderId="7" xfId="0" applyNumberFormat="1" applyFont="1" applyBorder="1"/>
    <xf numFmtId="0" fontId="1" fillId="0" borderId="0" xfId="0" applyFont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0" fillId="0" borderId="12" xfId="0" applyBorder="1"/>
    <xf numFmtId="165" fontId="1" fillId="0" borderId="13" xfId="0" applyNumberFormat="1" applyFont="1" applyBorder="1"/>
    <xf numFmtId="0" fontId="1" fillId="0" borderId="14" xfId="0" applyFont="1" applyBorder="1"/>
    <xf numFmtId="0" fontId="1" fillId="0" borderId="15" xfId="0" applyFont="1" applyBorder="1"/>
    <xf numFmtId="165" fontId="1" fillId="0" borderId="16" xfId="0" applyNumberFormat="1" applyFont="1" applyBorder="1"/>
    <xf numFmtId="4" fontId="1" fillId="0" borderId="13" xfId="0" applyNumberFormat="1" applyFont="1" applyBorder="1"/>
    <xf numFmtId="4" fontId="1" fillId="0" borderId="16" xfId="0" applyNumberFormat="1" applyFont="1" applyBorder="1"/>
    <xf numFmtId="3" fontId="5" fillId="0" borderId="8" xfId="0" applyNumberFormat="1" applyFont="1" applyBorder="1"/>
    <xf numFmtId="164" fontId="5" fillId="0" borderId="8" xfId="1" applyNumberFormat="1" applyFont="1" applyBorder="1"/>
    <xf numFmtId="164" fontId="5" fillId="0" borderId="7" xfId="1" applyNumberFormat="1" applyFont="1" applyBorder="1"/>
    <xf numFmtId="9" fontId="5" fillId="0" borderId="8" xfId="1" applyFont="1" applyBorder="1"/>
    <xf numFmtId="9" fontId="5" fillId="0" borderId="7" xfId="1" applyFont="1" applyBorder="1"/>
    <xf numFmtId="165" fontId="5" fillId="0" borderId="8" xfId="0" applyNumberFormat="1" applyFont="1" applyBorder="1"/>
    <xf numFmtId="165" fontId="5" fillId="0" borderId="7" xfId="0" applyNumberFormat="1" applyFont="1" applyBorder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190499</xdr:rowOff>
    </xdr:from>
    <xdr:ext cx="4736306" cy="631507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0475" y="380999"/>
          <a:ext cx="4736306" cy="6315075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276725" cy="357286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0" y="381000"/>
          <a:ext cx="4276725" cy="3572863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276800" cy="3572926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0075" y="381000"/>
          <a:ext cx="4276800" cy="3572926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741094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628650</xdr:colOff>
      <xdr:row>1</xdr:row>
      <xdr:rowOff>76200</xdr:rowOff>
    </xdr:from>
    <xdr:ext cx="6172200" cy="3083922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700" y="266700"/>
          <a:ext cx="6172200" cy="3083922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6419850" cy="32076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9625" y="381000"/>
          <a:ext cx="6419850" cy="320766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6048375" cy="302205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2850" y="381000"/>
          <a:ext cx="6048375" cy="3022053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404576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404576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404576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737600" cy="63168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0475" y="381000"/>
          <a:ext cx="4737600" cy="6316800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404576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7343775" cy="3669296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9525" y="381000"/>
          <a:ext cx="7343775" cy="3669296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276800" cy="3572926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2875" y="381000"/>
          <a:ext cx="4276800" cy="3572926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28575</xdr:colOff>
      <xdr:row>2</xdr:row>
      <xdr:rowOff>9525</xdr:rowOff>
    </xdr:from>
    <xdr:ext cx="4276800" cy="3572926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1450" y="390525"/>
          <a:ext cx="4276800" cy="3572926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676275</xdr:colOff>
      <xdr:row>1</xdr:row>
      <xdr:rowOff>133350</xdr:rowOff>
    </xdr:from>
    <xdr:ext cx="7019925" cy="350748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0525" y="323850"/>
          <a:ext cx="7019925" cy="3507485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409575</xdr:colOff>
      <xdr:row>1</xdr:row>
      <xdr:rowOff>38100</xdr:rowOff>
    </xdr:from>
    <xdr:ext cx="741094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228600"/>
          <a:ext cx="7410944" cy="4320000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276800" cy="3572926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6425" y="381000"/>
          <a:ext cx="4276800" cy="3572926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666750</xdr:colOff>
      <xdr:row>1</xdr:row>
      <xdr:rowOff>57150</xdr:rowOff>
    </xdr:from>
    <xdr:ext cx="741094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2125" y="247650"/>
          <a:ext cx="7410944" cy="4320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</xdr:row>
      <xdr:rowOff>0</xdr:rowOff>
    </xdr:from>
    <xdr:ext cx="8777438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581025</xdr:colOff>
      <xdr:row>1</xdr:row>
      <xdr:rowOff>28575</xdr:rowOff>
    </xdr:from>
    <xdr:ext cx="741094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9725" y="219075"/>
          <a:ext cx="7410944" cy="4320000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742950</xdr:colOff>
      <xdr:row>0</xdr:row>
      <xdr:rowOff>180975</xdr:rowOff>
    </xdr:from>
    <xdr:ext cx="741094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1600" y="180975"/>
          <a:ext cx="7410944" cy="4320000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685800</xdr:colOff>
      <xdr:row>1</xdr:row>
      <xdr:rowOff>0</xdr:rowOff>
    </xdr:from>
    <xdr:ext cx="741094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7875" y="190500"/>
          <a:ext cx="7410944" cy="4320000"/>
        </a:xfrm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57150</xdr:rowOff>
    </xdr:from>
    <xdr:ext cx="6524625" cy="380334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275" y="247650"/>
          <a:ext cx="6524625" cy="3803345"/>
        </a:xfrm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1</xdr:rowOff>
    </xdr:from>
    <xdr:ext cx="6523200" cy="380251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275" y="381001"/>
          <a:ext cx="6523200" cy="3802515"/>
        </a:xfrm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1</xdr:rowOff>
    </xdr:from>
    <xdr:ext cx="6523200" cy="380251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0" y="381001"/>
          <a:ext cx="6523200" cy="3802515"/>
        </a:xfrm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1</xdr:rowOff>
    </xdr:from>
    <xdr:ext cx="6523200" cy="380251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0" y="381001"/>
          <a:ext cx="6523200" cy="3802515"/>
        </a:xfrm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238125</xdr:colOff>
      <xdr:row>1</xdr:row>
      <xdr:rowOff>114300</xdr:rowOff>
    </xdr:from>
    <xdr:ext cx="531627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304800"/>
          <a:ext cx="5316274" cy="4320000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31627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</xdr:row>
      <xdr:rowOff>0</xdr:rowOff>
    </xdr:from>
    <xdr:ext cx="8777438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3943350" cy="2298896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0575" y="381000"/>
          <a:ext cx="3943350" cy="2298896"/>
        </a:xfrm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7200000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752475</xdr:colOff>
      <xdr:row>1</xdr:row>
      <xdr:rowOff>85725</xdr:rowOff>
    </xdr:from>
    <xdr:ext cx="3857625" cy="224892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276225"/>
          <a:ext cx="3857625" cy="2248920"/>
        </a:xfrm>
        <a:prstGeom prst="rect">
          <a:avLst/>
        </a:prstGeom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7200000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</xdr:colOff>
      <xdr:row>1</xdr:row>
      <xdr:rowOff>180975</xdr:rowOff>
    </xdr:from>
    <xdr:ext cx="3800475" cy="221560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371475"/>
          <a:ext cx="3800475" cy="2215603"/>
        </a:xfrm>
        <a:prstGeom prst="rect">
          <a:avLst/>
        </a:prstGeom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7200000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0711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276800" cy="3572926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381000"/>
          <a:ext cx="4276800" cy="3572926"/>
        </a:xfrm>
        <a:prstGeom prst="rect">
          <a:avLst/>
        </a:prstGeom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772275" cy="39503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0" y="381000"/>
          <a:ext cx="6772275" cy="3950323"/>
        </a:xfrm>
        <a:prstGeom prst="rect">
          <a:avLst/>
        </a:prstGeom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653498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3209925" cy="5836227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75" y="381000"/>
          <a:ext cx="3209925" cy="583622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3211200" cy="583854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75" y="381000"/>
          <a:ext cx="3211200" cy="583854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3211200" cy="449676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81700" y="381000"/>
          <a:ext cx="3211200" cy="4496768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753100" cy="3353607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381000"/>
          <a:ext cx="5753100" cy="3353607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752800" cy="3353432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381000"/>
          <a:ext cx="5752800" cy="33534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1"/>
  <sheetViews>
    <sheetView tabSelected="1" workbookViewId="0"/>
  </sheetViews>
  <sheetFormatPr defaultColWidth="11.42578125" defaultRowHeight="15" x14ac:dyDescent="0.25"/>
  <sheetData>
    <row r="1" spans="1:1" x14ac:dyDescent="0.25">
      <c r="A1" s="9" t="str">
        <f>HYPERLINK("#'Wykres 1.1'!A1", "Wykres 1.1: Szacowany odsetek chorych na chorobę Alzheimera i choroby pokrewne w wybranych krajach europejskich w latach 2014 i 2019")</f>
        <v>Wykres 1.1: Szacowany odsetek chorych na chorobę Alzheimera i choroby pokrewne w wybranych krajach europejskich w latach 2014 i 2019</v>
      </c>
    </row>
    <row r="2" spans="1:1" x14ac:dyDescent="0.25">
      <c r="A2" s="9" t="str">
        <f>HYPERLINK("#'Wykres 1.2'!A1", "Wykres 1.2: Standaryzowany strukturą wiekową szacowany odsetek chorych na chorobę Alzheimera i choroby pokrewne w wybranych krajach europejskich w latach 2014 i 2019")</f>
        <v>Wykres 1.2: Standaryzowany strukturą wiekową szacowany odsetek chorych na chorobę Alzheimera i choroby pokrewne w wybranych krajach europejskich w latach 2014 i 2019</v>
      </c>
    </row>
    <row r="3" spans="1:1" x14ac:dyDescent="0.25">
      <c r="A3" s="9" t="str">
        <f>HYPERLINK("#'Wykres 1.3'!A1", "Wykres 1.3: Szacowana liczba osób chorych na chorobę Alzheimera i choroby pokrewne w Polsce (2000–2019) jako odsetek ludności (lewy wykres) i w war...")</f>
        <v>Wykres 1.3: Szacowana liczba osób chorych na chorobę Alzheimera i choroby pokrewne w Polsce (2000–2019) jako odsetek ludności (lewy wykres) i w war...</v>
      </c>
    </row>
    <row r="4" spans="1:1" x14ac:dyDescent="0.25">
      <c r="A4" s="9" t="str">
        <f>HYPERLINK("#'Wykres 1.4'!A1", "Wykres 1.4: Szacowana zachorowalność na chorobę Alzheimera i choroby pokrewne w Polsce (2000–2019) jako odsetek ludności (lewy wykres) i w wartościach bezwzględnych (prawy wykres)—oszacowanie (linią ciągła) i 95% przedział ufności (linia przerywana)")</f>
        <v>Wykres 1.4: Szacowana zachorowalność na chorobę Alzheimera i choroby pokrewne w Polsce (2000–2019) jako odsetek ludności (lewy wykres) i w wartościach bezwzględnych (prawy wykres)—oszacowanie (linią ciągła) i 95% przedział ufności (linia przerywana)</v>
      </c>
    </row>
    <row r="5" spans="1:1" x14ac:dyDescent="0.25">
      <c r="A5" s="9" t="str">
        <f>HYPERLINK("#'Wykres 1.5a'!A1", "Wykres 1.5a: Szacowany odsetek osób chorych na chorobę Alzheimera i choroby pokrewne w wybranych krajach europejskich w podziale na płeć (2019, kobiety)—oszacowanie (punkt) i 95% przedział ufności (linia)")</f>
        <v>Wykres 1.5a: Szacowany odsetek osób chorych na chorobę Alzheimera i choroby pokrewne w wybranych krajach europejskich w podziale na płeć (2019, kobiety)—oszacowanie (punkt) i 95% przedział ufności (linia)</v>
      </c>
    </row>
    <row r="6" spans="1:1" x14ac:dyDescent="0.25">
      <c r="A6" s="9" t="str">
        <f>HYPERLINK("#'Wykres 1.5b'!A1", "Wykres 1.5b: Szacowany odsetek osób chorych na chorobę Alzheimera i choroby pokrewne w wybranych krajach europejskich w podziale na płeć (2019, mężczyźni)—oszacowanie (punkt) i 95% przedział ufności (linia)")</f>
        <v>Wykres 1.5b: Szacowany odsetek osób chorych na chorobę Alzheimera i choroby pokrewne w wybranych krajach europejskich w podziale na płeć (2019, mężczyźni)—oszacowanie (punkt) i 95% przedział ufności (linia)</v>
      </c>
    </row>
    <row r="7" spans="1:1" x14ac:dyDescent="0.25">
      <c r="A7" s="9" t="str">
        <f>HYPERLINK("#'Wykres 1.6'!A1", "Wykres 1.6: Szacowany udział DALY z powodu choroby Alzheimera i chorób pokrewnych wśród DALY z powodu wszystkich chorób w wybranych krajach europejskich (2019)")</f>
        <v>Wykres 1.6: Szacowany udział DALY z powodu choroby Alzheimera i chorób pokrewnych wśród DALY z powodu wszystkich chorób w wybranych krajach europejskich (2019)</v>
      </c>
    </row>
    <row r="8" spans="1:1" x14ac:dyDescent="0.25">
      <c r="A8" s="9" t="str">
        <f>HYPERLINK("#'Tabela 2.1'!A1", "Tabela 2.1: Chorobowość rejestrowana choroby Alzheimera i chorób pokrewnych w Polsce (2014–2022)")</f>
        <v>Tabela 2.1: Chorobowość rejestrowana choroby Alzheimera i chorób pokrewnych w Polsce (2014–2022)</v>
      </c>
    </row>
    <row r="9" spans="1:1" x14ac:dyDescent="0.25">
      <c r="A9" s="9" t="str">
        <f>HYPERLINK("#'Wykres 2.1'!A1", "Wykres 2.1: Liczba osób chorych na chorobę Alzheimera lub choroby pokrewne wg płci i grup wiekowych (2022 r.)")</f>
        <v>Wykres 2.1: Liczba osób chorych na chorobę Alzheimera lub choroby pokrewne wg płci i grup wiekowych (2022 r.)</v>
      </c>
    </row>
    <row r="10" spans="1:1" x14ac:dyDescent="0.25">
      <c r="A10" s="9" t="str">
        <f>HYPERLINK("#'Wykres 2.2'!A1", "Wykres 2.2: Liczba i odsetek ludności chorej na chorobę Alzheimera lub choroby pokrewne wg płci i grup wiekowych (2022 r.)")</f>
        <v>Wykres 2.2: Liczba i odsetek ludności chorej na chorobę Alzheimera lub choroby pokrewne wg płci i grup wiekowych (2022 r.)</v>
      </c>
    </row>
    <row r="11" spans="1:1" x14ac:dyDescent="0.25">
      <c r="A11" s="9" t="str">
        <f>HYPERLINK("#'Wykres 2.3a'!A1", "Wykres 2.3a: Surowy współczynnik chorobowości choroby Alzheimera oraz chorób pokrewnych wg województwa zamieszkania pacjenta (2022 r.)")</f>
        <v>Wykres 2.3a: Surowy współczynnik chorobowości choroby Alzheimera oraz chorób pokrewnych wg województwa zamieszkania pacjenta (2022 r.)</v>
      </c>
    </row>
    <row r="12" spans="1:1" x14ac:dyDescent="0.25">
      <c r="A12" s="9" t="str">
        <f>HYPERLINK("#'Wykres 2.3b'!A1", "Wykres 2.3b: Standaryzowany ogólnopolską strukturą wieku i płci współczynnik chorobowości choroby Alzheimera oraz chorób pokrewnych wg województwa zamieszkania pacjenta (2022 r.)")</f>
        <v>Wykres 2.3b: Standaryzowany ogólnopolską strukturą wieku i płci współczynnik chorobowości choroby Alzheimera oraz chorób pokrewnych wg województwa zamieszkania pacjenta (2022 r.)</v>
      </c>
    </row>
    <row r="13" spans="1:1" x14ac:dyDescent="0.25">
      <c r="A13" s="9" t="str">
        <f>HYPERLINK("#'Tabela 2.2'!A1", "Tabela 2.2: Zachorowalność rejestrowana choroby Alzheimera i chorób pokrewnych w Polsce (2014–2022)")</f>
        <v>Tabela 2.2: Zachorowalność rejestrowana choroby Alzheimera i chorób pokrewnych w Polsce (2014–2022)</v>
      </c>
    </row>
    <row r="14" spans="1:1" x14ac:dyDescent="0.25">
      <c r="A14" s="9" t="str">
        <f>HYPERLINK("#'Wykres 2.4'!A1", "Wykres 2.4: Współczynnik zachorowalności rejestrowanej w 2014 i 2022 roku według grup wiekowych i płci")</f>
        <v>Wykres 2.4: Współczynnik zachorowalności rejestrowanej w 2014 i 2022 roku według grup wiekowych i płci</v>
      </c>
    </row>
    <row r="15" spans="1:1" x14ac:dyDescent="0.25">
      <c r="A15" s="9" t="str">
        <f>HYPERLINK("#'Tabela 2.3'!A1", "Tabela 2.3: Liczba pacjentów w wieku 55 lat i więcej (w tys.), którym udzielono świadczenie z rozpoznaniem głównym choroby Alzheimera lub chorób pokrewnych (2014–2022)")</f>
        <v>Tabela 2.3: Liczba pacjentów w wieku 55 lat i więcej (w tys.), którym udzielono świadczenie z rozpoznaniem głównym choroby Alzheimera lub chorób pokrewnych (2014–2022)</v>
      </c>
    </row>
    <row r="16" spans="1:1" x14ac:dyDescent="0.25">
      <c r="A16" s="9" t="str">
        <f>HYPERLINK("#'Tabela 2.4'!A1", "Tabela 2.4: Liczba świadczeń (w tys.) sprawozdana z rozpoznaniem głównym choroby Alzheimera lub chorób pokrewnych dla osób w wieku 55 lat i więcej (2014–2022)")</f>
        <v>Tabela 2.4: Liczba świadczeń (w tys.) sprawozdana z rozpoznaniem głównym choroby Alzheimera lub chorób pokrewnych dla osób w wieku 55 lat i więcej (2014–2022)</v>
      </c>
    </row>
    <row r="17" spans="1:1" x14ac:dyDescent="0.25">
      <c r="A17" s="9" t="str">
        <f>HYPERLINK("#'Tabela 2.5'!A1", "Tabela 2.5: Wartość świadczeń (w mln zł) udzielonych z rozpoznaniem głównym choroby Alzheimera lub chorób pokrewnych pacjentom w wieku 55 lat i więcej (2014–2022)")</f>
        <v>Tabela 2.5: Wartość świadczeń (w mln zł) udzielonych z rozpoznaniem głównym choroby Alzheimera lub chorób pokrewnych pacjentom w wieku 55 lat i więcej (2014–2022)</v>
      </c>
    </row>
    <row r="18" spans="1:1" x14ac:dyDescent="0.25">
      <c r="A18" s="9" t="str">
        <f>HYPERLINK("#'Wykres 2.5'!A1", "Wykres 2.5: Średnia wartość refundacji świadczeń udzielonych z rozpoznaniem głównym choroby Alzheimera lub chorób pokrewnych w wieku 55 lat i więcej w przeliczeniu na pacjenta (2014–2022)")</f>
        <v>Wykres 2.5: Średnia wartość refundacji świadczeń udzielonych z rozpoznaniem głównym choroby Alzheimera lub chorób pokrewnych w wieku 55 lat i więcej w przeliczeniu na pacjenta (2014–2022)</v>
      </c>
    </row>
    <row r="19" spans="1:1" x14ac:dyDescent="0.25">
      <c r="A19" s="9" t="str">
        <f>HYPERLINK("#'Tabela 2.6'!A1", "Tabela 2.6: Liczba pacjentów w wieku 55 lat i więcej (w tys.), którym udzielono świadczenia z rozpoznaniem głównym o kodzie ICD-10 G30 (wraz z rozszerzeniami oraz bez wskazanego rozszerzenia) oraz G31.0, G31.1, G31.8 oraz G31.9 (2014–2022)")</f>
        <v>Tabela 2.6: Liczba pacjentów w wieku 55 lat i więcej (w tys.), którym udzielono świadczenia z rozpoznaniem głównym o kodzie ICD-10 G30 (wraz z rozszerzeniami oraz bez wskazanego rozszerzenia) oraz G31.0, G31.1, G31.8 oraz G31.9 (2014–2022)</v>
      </c>
    </row>
    <row r="20" spans="1:1" x14ac:dyDescent="0.25">
      <c r="A20" s="9" t="str">
        <f>HYPERLINK("#'Wykres 2.6'!A1", "Wykres 2.6: Średni czas hospitalizacji pacjentów w wieku 55 lat i więcej (w dniach) niezakończonych zgonem na oddziałach neurologicznych z rozpozna...")</f>
        <v>Wykres 2.6: Średni czas hospitalizacji pacjentów w wieku 55 lat i więcej (w dniach) niezakończonych zgonem na oddziałach neurologicznych z rozpozna...</v>
      </c>
    </row>
    <row r="21" spans="1:1" x14ac:dyDescent="0.25">
      <c r="A21" s="9" t="str">
        <f>HYPERLINK("#'Tabela 2.7'!A1", "Tabela 2.7: Liczba świadczeń (w tys.) z rozpoznaniem głównym o kodzie ICD-10 G30 (wraz z rozszerzeniami oraz bez wskazanego rozszerzenia) oraz G31.0, G31.1, G31.8, G31.9 udzielonych pacjentom w wieku 55 lat i więcej (2014–2022)")</f>
        <v>Tabela 2.7: Liczba świadczeń (w tys.) z rozpoznaniem głównym o kodzie ICD-10 G30 (wraz z rozszerzeniami oraz bez wskazanego rozszerzenia) oraz G31.0, G31.1, G31.8, G31.9 udzielonych pacjentom w wieku 55 lat i więcej (2014–2022)</v>
      </c>
    </row>
    <row r="22" spans="1:1" x14ac:dyDescent="0.25">
      <c r="A22" s="9" t="str">
        <f>HYPERLINK("#'Tabela 2.8'!A1", "Tabela 2.8: Liczba pacjentów w wieku 55 lat i więcej(w tys.), którym udzielono świadczenie rozpoznaniem głównym o kodach ICD-10 F00–F01 (wraz z rozszerzeniami oraz bez wskazanego rozszerzenia) oraz F02.1–F02.3 (2014–2022)")</f>
        <v>Tabela 2.8: Liczba pacjentów w wieku 55 lat i więcej(w tys.), którym udzielono świadczenie rozpoznaniem głównym o kodach ICD-10 F00–F01 (wraz z rozszerzeniami oraz bez wskazanego rozszerzenia) oraz F02.1–F02.3 (2014–2022)</v>
      </c>
    </row>
    <row r="23" spans="1:1" x14ac:dyDescent="0.25">
      <c r="A23" s="9" t="str">
        <f>HYPERLINK("#'Tabela 2.9'!A1", "Tabela 2.9: Liczba świadczeń (w tys.) udzielonych z rozpoznaniem głównym o kodach ICD-10 F00–F01 (wraz z rozszerzeniami oraz bez wskazanego rozszerzenia) oraz F02.1–F02.3 pacjentom w wieku 55 lat i więcej (2014–2022)")</f>
        <v>Tabela 2.9: Liczba świadczeń (w tys.) udzielonych z rozpoznaniem głównym o kodach ICD-10 F00–F01 (wraz z rozszerzeniami oraz bez wskazanego rozszerzenia) oraz F02.1–F02.3 pacjentom w wieku 55 lat i więcej (2014–2022)</v>
      </c>
    </row>
    <row r="24" spans="1:1" x14ac:dyDescent="0.25">
      <c r="A24" s="9" t="str">
        <f>HYPERLINK("#'Tabela 2.10'!A1", "Tabela 2.10: Struktura świadczeń w poradniach psychiatrycznych udzielonych z rozpoznaniem głównym o kodach ICD-10 F00–F01 (wraz z rozszerzeniami oraz bez wskazanego rozszerzenia) oraz F02.1–F02.3 pacjentom w wieku 55 lat i więcej (2014–2022)")</f>
        <v>Tabela 2.10: Struktura świadczeń w poradniach psychiatrycznych udzielonych z rozpoznaniem głównym o kodach ICD-10 F00–F01 (wraz z rozszerzeniami oraz bez wskazanego rozszerzenia) oraz F02.1–F02.3 pacjentom w wieku 55 lat i więcej (2014–2022)</v>
      </c>
    </row>
    <row r="25" spans="1:1" x14ac:dyDescent="0.25">
      <c r="A25" s="9" t="str">
        <f>HYPERLINK("#'Tabela 2.11'!A1", "Tabela 2.11: Struktura porad lekarskich w poradniach psychiatrycznych udzielonych z rozpoznaniem głównym o kodach ICD-10 F00–F01 (wraz z rozszerzeniami oraz bez wskazanego rozszerzenia) oraz F02.1–F02.3 pacjentom w wieku 55 lat i więcej (2014–2022)")</f>
        <v>Tabela 2.11: Struktura porad lekarskich w poradniach psychiatrycznych udzielonych z rozpoznaniem głównym o kodach ICD-10 F00–F01 (wraz z rozszerzeniami oraz bez wskazanego rozszerzenia) oraz F02.1–F02.3 pacjentom w wieku 55 lat i więcej (2014–2022)</v>
      </c>
    </row>
    <row r="26" spans="1:1" x14ac:dyDescent="0.25">
      <c r="A26" s="9" t="str">
        <f>HYPERLINK("#'Wykres 2.7'!A1", "Wykres 2.7: Liczba osobodni (w tys.) hospitalizacji na szpitalnych oddziałach psychiatrycznych z rozpoznaniem głównym o kodach ICD-10 F00–F01 (wraz...")</f>
        <v>Wykres 2.7: Liczba osobodni (w tys.) hospitalizacji na szpitalnych oddziałach psychiatrycznych z rozpoznaniem głównym o kodach ICD-10 F00–F01 (wraz...</v>
      </c>
    </row>
    <row r="27" spans="1:1" x14ac:dyDescent="0.25">
      <c r="A27" s="9" t="str">
        <f>HYPERLINK("#'Tabela 2.12'!A1", "Tabela 2.12: Liczba pacjentów w wieku 55 lat i więcej (w tys.) wg miejsca udzielenia pierwszego świadczenia z rozpoznaniem głównym choroby Alzheimera lub chorób pokrewnych (2014–2022)")</f>
        <v>Tabela 2.12: Liczba pacjentów w wieku 55 lat i więcej (w tys.) wg miejsca udzielenia pierwszego świadczenia z rozpoznaniem głównym choroby Alzheimera lub chorób pokrewnych (2014–2022)</v>
      </c>
    </row>
    <row r="28" spans="1:1" x14ac:dyDescent="0.25">
      <c r="A28" s="9" t="str">
        <f>HYPERLINK("#'Wykres 2.8'!A1", "Wykres 2.8: Struktura liczby pacjentów w wieku 55 lat i więcej wg miejsca udzielenia pierwszego świadczenia z rozpoznaniem głównym choroby Alzheimera lub chorób pokrewnych (2014–2022)")</f>
        <v>Wykres 2.8: Struktura liczby pacjentów w wieku 55 lat i więcej wg miejsca udzielenia pierwszego świadczenia z rozpoznaniem głównym choroby Alzheimera lub chorób pokrewnych (2014–2022)</v>
      </c>
    </row>
    <row r="29" spans="1:1" x14ac:dyDescent="0.25">
      <c r="A29" s="9" t="str">
        <f>HYPERLINK("#'Tabela 2.13'!A1", "Tabela 2.13: Odsetek nowo rozpoznanych pacjentów w wieku 55 lat i więcej, którzy mieli udzielone świadczenie w ramach neurologii z rozpoznaniem głó...")</f>
        <v>Tabela 2.13: Odsetek nowo rozpoznanych pacjentów w wieku 55 lat i więcej, którzy mieli udzielone świadczenie w ramach neurologii z rozpoznaniem głó...</v>
      </c>
    </row>
    <row r="30" spans="1:1" x14ac:dyDescent="0.25">
      <c r="A30" s="9" t="str">
        <f>HYPERLINK("#'Tabela 2.14'!A1", "Tabela 2.14: Średnia liczba świadczeń udzielonych nowo rozpoznanym pacjentom w wieku 55 lat i więcej z rozpoznaniem choroby Alzheimera lub chorób p...")</f>
        <v>Tabela 2.14: Średnia liczba świadczeń udzielonych nowo rozpoznanym pacjentom w wieku 55 lat i więcej z rozpoznaniem choroby Alzheimera lub chorób p...</v>
      </c>
    </row>
    <row r="31" spans="1:1" x14ac:dyDescent="0.25">
      <c r="A31" s="9" t="str">
        <f>HYPERLINK("#'Wykres 2.9'!A1", "Wykres 2.9: Informacja o miejscach udzielenia dwóch pierwszych świadczeń z rozpoznaniem głównym choroby Alzheimera lub chorób pokrewnych dla nowo r...")</f>
        <v>Wykres 2.9: Informacja o miejscach udzielenia dwóch pierwszych świadczeń z rozpoznaniem głównym choroby Alzheimera lub chorób pokrewnych dla nowo r...</v>
      </c>
    </row>
    <row r="32" spans="1:1" x14ac:dyDescent="0.25">
      <c r="A32" s="9" t="str">
        <f>HYPERLINK("#'Wykres 2.10'!A1", "Wykres 2.10: Informacja o miejscach udzielenia drugiego i trzeciego świadczenia z rozpoznaniem głównym choroby Alzheimera lub chorób pokrewnych dla...")</f>
        <v>Wykres 2.10: Informacja o miejscach udzielenia drugiego i trzeciego świadczenia z rozpoznaniem głównym choroby Alzheimera lub chorób pokrewnych dla...</v>
      </c>
    </row>
    <row r="33" spans="1:1" x14ac:dyDescent="0.25">
      <c r="A33" s="9" t="str">
        <f>HYPERLINK("#'Wykres 2.11'!A1", "Wykres 2.11: Informacja o miejscach udzielenia drugiego i trzeciego świadczenia z rozpoznaniem głównym choroby Alzheimera i chorób pokrewnych dla n...")</f>
        <v>Wykres 2.11: Informacja o miejscach udzielenia drugiego i trzeciego świadczenia z rozpoznaniem głównym choroby Alzheimera i chorób pokrewnych dla n...</v>
      </c>
    </row>
    <row r="34" spans="1:1" x14ac:dyDescent="0.25">
      <c r="A34" s="9" t="str">
        <f>HYPERLINK("#'Wykres 2.12'!A1", "Wykres 2.12: Informacja o miejscach udzielenia drugiego i trzeciego świadczenia z rozpoznaniem głównym choroby Alzheimera i chorób pokrewnych dla n...")</f>
        <v>Wykres 2.12: Informacja o miejscach udzielenia drugiego i trzeciego świadczenia z rozpoznaniem głównym choroby Alzheimera i chorób pokrewnych dla n...</v>
      </c>
    </row>
    <row r="35" spans="1:1" x14ac:dyDescent="0.25">
      <c r="A35" s="9" t="str">
        <f>HYPERLINK("#'Wykres 2.13'!A1", "Wykres 2.13: Liczba pacjentów w wieku 55 lat i więcej (w tys.), którzy co najmniej raz zrealizowali receptę na leki refundowane stosowane w leczeniu choroby Alzheimera (2014–2022)")</f>
        <v>Wykres 2.13: Liczba pacjentów w wieku 55 lat i więcej (w tys.), którzy co najmniej raz zrealizowali receptę na leki refundowane stosowane w leczeniu choroby Alzheimera (2014–2022)</v>
      </c>
    </row>
    <row r="36" spans="1:1" x14ac:dyDescent="0.25">
      <c r="A36" s="9" t="str">
        <f>HYPERLINK("#'Wykres 2.14'!A1", "Wykres 2.14: Struktura wiekowa pacjentów realizujących recepty na leki refundowane stosowane w leczeniu choroby Alzheimera (2014–2022)")</f>
        <v>Wykres 2.14: Struktura wiekowa pacjentów realizujących recepty na leki refundowane stosowane w leczeniu choroby Alzheimera (2014–2022)</v>
      </c>
    </row>
    <row r="37" spans="1:1" x14ac:dyDescent="0.25">
      <c r="A37" s="9" t="str">
        <f>HYPERLINK("#'Wykres 2.15a'!A1", "Wykres 2.15a: Liczba kobiet w wieku 55 lat i więcej realizujących recepty na refundowane leki stosowane w leczeniu choroby Alzheimera w przeliczeniu na 10 tys. kobiet w wieku 55+ wg województwa zamieszkania pacjenta (2022)")</f>
        <v>Wykres 2.15a: Liczba kobiet w wieku 55 lat i więcej realizujących recepty na refundowane leki stosowane w leczeniu choroby Alzheimera w przeliczeniu na 10 tys. kobiet w wieku 55+ wg województwa zamieszkania pacjenta (2022)</v>
      </c>
    </row>
    <row r="38" spans="1:1" x14ac:dyDescent="0.25">
      <c r="A38" s="9" t="str">
        <f>HYPERLINK("#'Wykres 2.15b'!A1", "Wykres 2.15b: Liczba mężczyzn w wieku 55 lat i więcej realizujących recepty na refundowane leki stosowane w leczeniu choroby Alzheimera w przeliczeniu na 10 tys. mężczyzn w wieku 55+ wg województwa zamieszkania pacjenta (2022)")</f>
        <v>Wykres 2.15b: Liczba mężczyzn w wieku 55 lat i więcej realizujących recepty na refundowane leki stosowane w leczeniu choroby Alzheimera w przeliczeniu na 10 tys. mężczyzn w wieku 55+ wg województwa zamieszkania pacjenta (2022)</v>
      </c>
    </row>
    <row r="39" spans="1:1" x14ac:dyDescent="0.25">
      <c r="A39" s="9" t="str">
        <f>HYPERLINK("#'Wykres 2.16'!A1", "Wykres 2.16: Liczba pacjentów w wieku 55 lat i więcej (w tys.) rozpoczynających refundowaną farmakoterapię, definiowanych jako osoby, które w danym...")</f>
        <v>Wykres 2.16: Liczba pacjentów w wieku 55 lat i więcej (w tys.) rozpoczynających refundowaną farmakoterapię, definiowanych jako osoby, które w danym...</v>
      </c>
    </row>
    <row r="40" spans="1:1" x14ac:dyDescent="0.25">
      <c r="A40" s="9" t="str">
        <f>HYPERLINK("#'Wykres 2.17'!A1", "Wykres 2.17: Wartość refundacji oraz dopłat pacjentów (w mln zł) dla refundowanych leków stosowanych w leczeniu choroby Alzheimera wykupionych dla pacjentów w wieku 55 lat i więcej (2014–2022)")</f>
        <v>Wykres 2.17: Wartość refundacji oraz dopłat pacjentów (w mln zł) dla refundowanych leków stosowanych w leczeniu choroby Alzheimera wykupionych dla pacjentów w wieku 55 lat i więcej (2014–2022)</v>
      </c>
    </row>
    <row r="41" spans="1:1" x14ac:dyDescent="0.25">
      <c r="A41" s="9" t="str">
        <f>HYPERLINK("#'Wykres 2.18'!A1", "Wykres 2.18: Średnia roczna wartość refundacji oraz dopłat na pacjenta, dla refundowanych leków stosowanych w leczeniu choroby Alzheimera wykupionych dla osób w wieku 55 lat i więcej (2014–2022)")</f>
        <v>Wykres 2.18: Średnia roczna wartość refundacji oraz dopłat na pacjenta, dla refundowanych leków stosowanych w leczeniu choroby Alzheimera wykupionych dla osób w wieku 55 lat i więcej (2014–2022)</v>
      </c>
    </row>
    <row r="42" spans="1:1" x14ac:dyDescent="0.25">
      <c r="A42" s="9" t="str">
        <f>HYPERLINK("#'Tabela 2.15'!A1", "Tabela 2.15: Realizacja recept na refundowane leki stosowane w leczeniu choroby Alzheimera dla osób w wieku 55 lat i więcej (2014–2022)")</f>
        <v>Tabela 2.15: Realizacja recept na refundowane leki stosowane w leczeniu choroby Alzheimera dla osób w wieku 55 lat i więcej (2014–2022)</v>
      </c>
    </row>
    <row r="43" spans="1:1" x14ac:dyDescent="0.25">
      <c r="A43" s="9" t="str">
        <f>HYPERLINK("#'Tabela 2.16'!A1", "Tabela 2.16: Realizacja recept na refundowane leki stosowane w leczeniu choroby Alzheimera w ramach programu Leki 75+ (2014–2022)")</f>
        <v>Tabela 2.16: Realizacja recept na refundowane leki stosowane w leczeniu choroby Alzheimera w ramach programu Leki 75+ (2014–2022)</v>
      </c>
    </row>
    <row r="44" spans="1:1" x14ac:dyDescent="0.25">
      <c r="A44" s="9" t="str">
        <f>HYPERLINK("#'Wykres 2.19'!A1", "Wykres 2.19: Średnia roczna wartość refundacji (w zł) dla leków stosowanych w leczeniu choroby Alzheimera dla osób w wieku 55 lat i więcej w przeliczeniu na pacjenta wg województwa zamieszkania pacjenta (2022)")</f>
        <v>Wykres 2.19: Średnia roczna wartość refundacji (w zł) dla leków stosowanych w leczeniu choroby Alzheimera dla osób w wieku 55 lat i więcej w przeliczeniu na pacjenta wg województwa zamieszkania pacjenta (2022)</v>
      </c>
    </row>
    <row r="45" spans="1:1" x14ac:dyDescent="0.25">
      <c r="A45" s="9" t="str">
        <f>HYPERLINK("#'Wykres 2.20'!A1", "Wykres 2.20: Liczba pacjentów w wieku 55 lat i więcej (w tys.), którzy wykupili refundowane leki stosowane w leczeniu choroby Alzheimera, w podziale na substancje czynne (2014–2022)")</f>
        <v>Wykres 2.20: Liczba pacjentów w wieku 55 lat i więcej (w tys.), którzy wykupili refundowane leki stosowane w leczeniu choroby Alzheimera, w podziale na substancje czynne (2014–2022)</v>
      </c>
    </row>
    <row r="46" spans="1:1" x14ac:dyDescent="0.25">
      <c r="A46" s="9" t="str">
        <f>HYPERLINK("#'Wykres 2.21'!A1", "Wykres 2.21: Procentowa zmiana liczby pacjentów w wieku 55 lat i więcej realizujących recepty na leki refundowane stosowane w leczeniu choroby Alzheimera w porównaniu do 2013 r. wg substancji czynnych leków (2013–2022)")</f>
        <v>Wykres 2.21: Procentowa zmiana liczby pacjentów w wieku 55 lat i więcej realizujących recepty na leki refundowane stosowane w leczeniu choroby Alzheimera w porównaniu do 2013 r. wg substancji czynnych leków (2013–2022)</v>
      </c>
    </row>
    <row r="47" spans="1:1" x14ac:dyDescent="0.25">
      <c r="A47" s="9" t="str">
        <f>HYPERLINK("#'Wykres 2.22'!A1", "Wykres 2.22: Liczba wykupionych opakowań (w tys.) refundowanych leków stosowanych w leczeniu choroby Alzheimera w podziale na substancje czynne dla osób w wieku 55 lat i więcej (2014–2022)")</f>
        <v>Wykres 2.22: Liczba wykupionych opakowań (w tys.) refundowanych leków stosowanych w leczeniu choroby Alzheimera w podziale na substancje czynne dla osób w wieku 55 lat i więcej (2014–2022)</v>
      </c>
    </row>
    <row r="48" spans="1:1" x14ac:dyDescent="0.25">
      <c r="A48" s="9" t="str">
        <f>HYPERLINK("#'Wykres 2.23'!A1", "Wykres 2.23: Liczba DDD (w mln) dla wykupionych refundowanych leków stosowanych w leczeniu choroby Alzheimera w podziale na substancje czynne dla osób w wieku 55 lat i więcej (2014–2022)")</f>
        <v>Wykres 2.23: Liczba DDD (w mln) dla wykupionych refundowanych leków stosowanych w leczeniu choroby Alzheimera w podziale na substancje czynne dla osób w wieku 55 lat i więcej (2014–2022)</v>
      </c>
    </row>
    <row r="49" spans="1:1" x14ac:dyDescent="0.25">
      <c r="A49" s="9" t="str">
        <f>HYPERLINK("#'Wykres 2.24'!A1", "Wykres 2.24: Wartość refundacji (w mln zł) leków stosowanych w leczeniu choroby Alzheimera w podziale na substancje czynne leku dla osób w wieku 55 lat i więcej (2014–2022)")</f>
        <v>Wykres 2.24: Wartość refundacji (w mln zł) leków stosowanych w leczeniu choroby Alzheimera w podziale na substancje czynne leku dla osób w wieku 55 lat i więcej (2014–2022)</v>
      </c>
    </row>
    <row r="50" spans="1:1" x14ac:dyDescent="0.25">
      <c r="A50" s="9" t="str">
        <f>HYPERLINK("#'Tabela 2.17'!A1", "Tabela 2.17: Wartości refundacji oraz dopłat pacjentów wraz z liczbą wykupionych opakowań i DDD dla refundowanych leków stosowanych w leczeniu choroby Alzheimera, w podziale na substancje czynne leków dla osób w wieku 55 lat i więcej (2022)")</f>
        <v>Tabela 2.17: Wartości refundacji oraz dopłat pacjentów wraz z liczbą wykupionych opakowań i DDD dla refundowanych leków stosowanych w leczeniu choroby Alzheimera, w podziale na substancje czynne leków dla osób w wieku 55 lat i więcej (2022)</v>
      </c>
    </row>
    <row r="51" spans="1:1" x14ac:dyDescent="0.25">
      <c r="A51" s="9" t="str">
        <f>HYPERLINK("#'Wykres 2.25a'!A1", "Wykres 2.25a: Struktura wieku pacjentów realizujących recepty na leki (refundowane i nierefundowane) stosowane w leczeniu choroby Alzheimera, mężczyźni (2019-2022)")</f>
        <v>Wykres 2.25a: Struktura wieku pacjentów realizujących recepty na leki (refundowane i nierefundowane) stosowane w leczeniu choroby Alzheimera, mężczyźni (2019-2022)</v>
      </c>
    </row>
    <row r="52" spans="1:1" x14ac:dyDescent="0.25">
      <c r="A52" s="9" t="str">
        <f>HYPERLINK("#'Wykres 2.25b'!A1", "Wykres 2.25b: Struktura wieku pacjentów realizujących recepty na leki (refundowane i nierefundowane) stosowane w leczeniu choroby Alzheimera, kobiety (2019-2022)")</f>
        <v>Wykres 2.25b: Struktura wieku pacjentów realizujących recepty na leki (refundowane i nierefundowane) stosowane w leczeniu choroby Alzheimera, kobiety (2019-2022)</v>
      </c>
    </row>
    <row r="53" spans="1:1" x14ac:dyDescent="0.25">
      <c r="A53" s="9" t="str">
        <f>HYPERLINK("#'Wykres 2.26a'!A1", "Wykres 2.26a: Liczba wykupionych opakowań leków (refundowanych i nierefundowanych) stosowanych w leczeniu choroby Alzheimera w przeliczeniu na osobę, mężczyźni (2019-2022)")</f>
        <v>Wykres 2.26a: Liczba wykupionych opakowań leków (refundowanych i nierefundowanych) stosowanych w leczeniu choroby Alzheimera w przeliczeniu na osobę, mężczyźni (2019-2022)</v>
      </c>
    </row>
    <row r="54" spans="1:1" x14ac:dyDescent="0.25">
      <c r="A54" s="9" t="str">
        <f>HYPERLINK("#'Wykres 2.26b'!A1", "Wykres 2.26b: Liczba wykupionych opakowań leków (refundowanych i nierefundowanych) stosowanych w leczeniu choroby Alzheimera w przeliczeniu na osobę, kobiety (2019-2022)")</f>
        <v>Wykres 2.26b: Liczba wykupionych opakowań leków (refundowanych i nierefundowanych) stosowanych w leczeniu choroby Alzheimera w przeliczeniu na osobę, kobiety (2019-2022)</v>
      </c>
    </row>
    <row r="55" spans="1:1" x14ac:dyDescent="0.25">
      <c r="A55" s="9" t="str">
        <f>HYPERLINK("#'Wykres 2.27'!A1", "Wykres 2.27: Struktura opakowań leków (refundowanych i nierefundowanych) stosowanych w leczeniu choroby Alzheimera wg poziomów odpłatności - dotyczy osób w wieku 55 lat i więcej (2022)")</f>
        <v>Wykres 2.27: Struktura opakowań leków (refundowanych i nierefundowanych) stosowanych w leczeniu choroby Alzheimera wg poziomów odpłatności - dotyczy osób w wieku 55 lat i więcej (2022)</v>
      </c>
    </row>
    <row r="56" spans="1:1" x14ac:dyDescent="0.25">
      <c r="A56" s="9" t="str">
        <f>HYPERLINK("#'Tabela 2.18'!A1", "Tabela 2.18: Liczba pacjentów w wieku 55 lat i więcej i liczba sprzedanych opakowań na leki stosowane w leczeniu choroby Alzheimera (refundowane i nierefundowane) wg substancji czynnych (2022)")</f>
        <v>Tabela 2.18: Liczba pacjentów w wieku 55 lat i więcej i liczba sprzedanych opakowań na leki stosowane w leczeniu choroby Alzheimera (refundowane i nierefundowane) wg substancji czynnych (2022)</v>
      </c>
    </row>
    <row r="57" spans="1:1" x14ac:dyDescent="0.25">
      <c r="A57" s="9" t="str">
        <f>HYPERLINK("#'Wykres 2.28'!A1", "Wykres 2.28: Odsetek wartości refundacji oraz wartości dopłat pacjentów do leków (refundowanych i nierefundowanych) stosowanych w leczeniu choroby Alzheimera w podziale na substancję czynną leku (dotyczy osób w wieku 55 lat i więcej, 2022)")</f>
        <v>Wykres 2.28: Odsetek wartości refundacji oraz wartości dopłat pacjentów do leków (refundowanych i nierefundowanych) stosowanych w leczeniu choroby Alzheimera w podziale na substancję czynną leku (dotyczy osób w wieku 55 lat i więcej, 2022)</v>
      </c>
    </row>
    <row r="58" spans="1:1" x14ac:dyDescent="0.25">
      <c r="A58" s="9" t="str">
        <f>HYPERLINK("#'Wykres 2.29'!A1", "Wykres 2.29: Rozkład wieku badanej populacji pacjentów w zakresie ciągłości farmakoterapii lekami z substancją czynną donepezili hydrochloridum")</f>
        <v>Wykres 2.29: Rozkład wieku badanej populacji pacjentów w zakresie ciągłości farmakoterapii lekami z substancją czynną donepezili hydrochloridum</v>
      </c>
    </row>
    <row r="59" spans="1:1" x14ac:dyDescent="0.25">
      <c r="A59" s="9" t="str">
        <f>HYPERLINK("#'Wykres 2.30'!A1", "Wykres 2.30: Struktura proporcji pokrycia dni w leczeniu substancją donepezili hydrochloridum w zależności od grupy wiekowej")</f>
        <v>Wykres 2.30: Struktura proporcji pokrycia dni w leczeniu substancją donepezili hydrochloridum w zależności od grupy wiekowej</v>
      </c>
    </row>
    <row r="60" spans="1:1" x14ac:dyDescent="0.25">
      <c r="A60" s="9" t="str">
        <f>HYPERLINK("#'Tabela 2.19'!A1", "Tabela 2.19: Odsetki osób w poszczególnych grupach wiekowych według długości leczenia (w dniach) liczonej od daty realizacji pierwszej recepty w 20...")</f>
        <v>Tabela 2.19: Odsetki osób w poszczególnych grupach wiekowych według długości leczenia (w dniach) liczonej od daty realizacji pierwszej recepty w 20...</v>
      </c>
    </row>
    <row r="61" spans="1:1" x14ac:dyDescent="0.25">
      <c r="A61" s="9" t="str">
        <f>HYPERLINK("#'Wykres 2.31'!A1", "Wykres 2.31: Rozkład wieku badanej populacji pacjentów w zakresie ciągłości farmakoterapii lekami z substancją czynną rivastigminum w postaci innej niż plastry")</f>
        <v>Wykres 2.31: Rozkład wieku badanej populacji pacjentów w zakresie ciągłości farmakoterapii lekami z substancją czynną rivastigminum w postaci innej niż plastry</v>
      </c>
    </row>
    <row r="62" spans="1:1" x14ac:dyDescent="0.25">
      <c r="A62" s="9" t="str">
        <f>HYPERLINK("#'Wykres 2.32'!A1", "Wykres 2.32: Struktura proporcji pokrycia dni w leczeniu substancją rivastigminum w postaci innej niż plastry w zależności od grupy wiekowej")</f>
        <v>Wykres 2.32: Struktura proporcji pokrycia dni w leczeniu substancją rivastigminum w postaci innej niż plastry w zależności od grupy wiekowej</v>
      </c>
    </row>
    <row r="63" spans="1:1" x14ac:dyDescent="0.25">
      <c r="A63" s="9" t="str">
        <f>HYPERLINK("#'Tabela 2.20'!A1", "Tabela 2.20: Odsetki osób w poszczególnych grupach wiekowych według długości leczenia (w dniach) liczonej od daty realizacji pierwszej recepty w 20...")</f>
        <v>Tabela 2.20: Odsetki osób w poszczególnych grupach wiekowych według długości leczenia (w dniach) liczonej od daty realizacji pierwszej recepty w 20...</v>
      </c>
    </row>
    <row r="64" spans="1:1" x14ac:dyDescent="0.25">
      <c r="A64" s="9" t="str">
        <f>HYPERLINK("#'Wykres 2.33'!A1", "Wykres 2.33: Rozkład wieku badanej populacji pacjentów w zakresie ciągłości farmakoterapii lekami z substancją czynną rivastigminum w postaci plastrów")</f>
        <v>Wykres 2.33: Rozkład wieku badanej populacji pacjentów w zakresie ciągłości farmakoterapii lekami z substancją czynną rivastigminum w postaci plastrów</v>
      </c>
    </row>
    <row r="65" spans="1:1" x14ac:dyDescent="0.25">
      <c r="A65" s="9" t="str">
        <f>HYPERLINK("#'Wykres 2.34'!A1", "Wykres 2.34: Struktura proporcji pokrycia dni w leczeniu substancją rivastigminum w postaci plastrów w zależności od grupy wiekowej")</f>
        <v>Wykres 2.34: Struktura proporcji pokrycia dni w leczeniu substancją rivastigminum w postaci plastrów w zależności od grupy wiekowej</v>
      </c>
    </row>
    <row r="66" spans="1:1" x14ac:dyDescent="0.25">
      <c r="A66" s="9" t="str">
        <f>HYPERLINK("#'Tabela 2.21'!A1", "Tabela 2.21: Odsetki osób w poszczególnych grupach wiekowych według długości leczenia (w dniach) liczonej od daty realizacji pierwszej recepty w 20...")</f>
        <v>Tabela 2.21: Odsetki osób w poszczególnych grupach wiekowych według długości leczenia (w dniach) liczonej od daty realizacji pierwszej recepty w 20...</v>
      </c>
    </row>
    <row r="67" spans="1:1" x14ac:dyDescent="0.25">
      <c r="A67" s="9" t="str">
        <f>HYPERLINK("#'Wykres 2.35'!A1", "Wykres 2.35: Liczba pacjentów w wieku 55 lat i więcej realizujących zlecenia na wyroby medyczne z powodu choroby Alzheimera lub chorób pokrewnych w latach 2014–2022")</f>
        <v>Wykres 2.35: Liczba pacjentów w wieku 55 lat i więcej realizujących zlecenia na wyroby medyczne z powodu choroby Alzheimera lub chorób pokrewnych w latach 2014–2022</v>
      </c>
    </row>
    <row r="68" spans="1:1" x14ac:dyDescent="0.25">
      <c r="A68" s="9" t="str">
        <f>HYPERLINK("#'Wykres 2.36'!A1", "Wykres 2.36: Standaryzowany strukturą wiekowo-płciową Polski w 2022 r. odsetek osób w wieku 55 lat i więcej, które w 2022 r. zrealizowały zlecenie na co najmniej jeden wyrób medyczny z powodu choroby Alzheimera lub chorób pokrewnych")</f>
        <v>Wykres 2.36: Standaryzowany strukturą wiekowo-płciową Polski w 2022 r. odsetek osób w wieku 55 lat i więcej, które w 2022 r. zrealizowały zlecenie na co najmniej jeden wyrób medyczny z powodu choroby Alzheimera lub chorób pokrewnych</v>
      </c>
    </row>
    <row r="69" spans="1:1" x14ac:dyDescent="0.25">
      <c r="A69" s="9" t="str">
        <f>HYPERLINK("#'Wykres 2.37'!A1", "Wykres 2.37: Łączna wartość zrealizowanych refundowanych wyrobów medycznych z powodu choroby Alzheimera lub chorób pokrewnych dla osób w wieku 55 lat i więcej w latach 2014–2022 w podziale na część refundacji i sumę dopłat pacjentów")</f>
        <v>Wykres 2.37: Łączna wartość zrealizowanych refundowanych wyrobów medycznych z powodu choroby Alzheimera lub chorób pokrewnych dla osób w wieku 55 lat i więcej w latach 2014–2022 w podziale na część refundacji i sumę dopłat pacjentów</v>
      </c>
    </row>
    <row r="70" spans="1:1" x14ac:dyDescent="0.25">
      <c r="A70" s="9" t="str">
        <f>HYPERLINK("#'Tabela 2.22'!A1", "Tabela 2.22: Kwoty refundacji oraz dopłat pacjentów dla poszczególnych wyrobów medycznych wykupionych w związku z rozpoznaniem choroby Alzheimera lub chorób pokrewnych (dotyczy osób w wieku 55 lat i więcej; 2014, 2022)")</f>
        <v>Tabela 2.22: Kwoty refundacji oraz dopłat pacjentów dla poszczególnych wyrobów medycznych wykupionych w związku z rozpoznaniem choroby Alzheimera lub chorób pokrewnych (dotyczy osób w wieku 55 lat i więcej; 2014, 2022)</v>
      </c>
    </row>
    <row r="71" spans="1:1" x14ac:dyDescent="0.25">
      <c r="A71" s="9" t="str">
        <f>HYPERLINK("#'Wykres 2.38'!A1", "Wykres 2.38: Średnia roczna wartość refundacji i dopłat pacjentów dla refundowanych wyrobów medycznych zrealizowanych z powodu choroby Alzheimera l...")</f>
        <v>Wykres 2.38: Średnia roczna wartość refundacji i dopłat pacjentów dla refundowanych wyrobów medycznych zrealizowanych z powodu choroby Alzheimera l...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/>
  </sheetViews>
  <sheetFormatPr defaultColWidth="11.42578125" defaultRowHeight="15" x14ac:dyDescent="0.25"/>
  <cols>
    <col min="1" max="1" width="11.7109375" customWidth="1"/>
    <col min="2" max="2" width="15.7109375" customWidth="1"/>
    <col min="3" max="3" width="25.7109375" customWidth="1"/>
  </cols>
  <sheetData>
    <row r="1" spans="1:3" x14ac:dyDescent="0.25">
      <c r="A1" t="s">
        <v>66</v>
      </c>
    </row>
    <row r="3" spans="1:3" x14ac:dyDescent="0.25">
      <c r="A3" s="4" t="s">
        <v>41</v>
      </c>
      <c r="B3" s="3" t="s">
        <v>67</v>
      </c>
      <c r="C3" s="5" t="s">
        <v>68</v>
      </c>
    </row>
    <row r="4" spans="1:3" x14ac:dyDescent="0.25">
      <c r="A4" s="1" t="s">
        <v>46</v>
      </c>
      <c r="B4" t="s">
        <v>69</v>
      </c>
      <c r="C4" s="36">
        <v>8.9</v>
      </c>
    </row>
    <row r="5" spans="1:3" x14ac:dyDescent="0.25">
      <c r="A5" s="1" t="s">
        <v>46</v>
      </c>
      <c r="B5" t="s">
        <v>70</v>
      </c>
      <c r="C5" s="36">
        <v>27.3</v>
      </c>
    </row>
    <row r="6" spans="1:3" x14ac:dyDescent="0.25">
      <c r="A6" s="1" t="s">
        <v>46</v>
      </c>
      <c r="B6" t="s">
        <v>71</v>
      </c>
      <c r="C6" s="36">
        <v>37.9</v>
      </c>
    </row>
    <row r="7" spans="1:3" x14ac:dyDescent="0.25">
      <c r="A7" s="1" t="s">
        <v>46</v>
      </c>
      <c r="B7" t="s">
        <v>72</v>
      </c>
      <c r="C7" s="36">
        <v>26.5</v>
      </c>
    </row>
    <row r="8" spans="1:3" x14ac:dyDescent="0.25">
      <c r="A8" s="1" t="s">
        <v>45</v>
      </c>
      <c r="B8" t="s">
        <v>69</v>
      </c>
      <c r="C8" s="36">
        <v>8.6999999999999993</v>
      </c>
    </row>
    <row r="9" spans="1:3" x14ac:dyDescent="0.25">
      <c r="A9" s="1" t="s">
        <v>45</v>
      </c>
      <c r="B9" t="s">
        <v>70</v>
      </c>
      <c r="C9" s="36">
        <v>38</v>
      </c>
    </row>
    <row r="10" spans="1:3" x14ac:dyDescent="0.25">
      <c r="A10" s="1" t="s">
        <v>45</v>
      </c>
      <c r="B10" t="s">
        <v>71</v>
      </c>
      <c r="C10" s="36">
        <v>94.4</v>
      </c>
    </row>
    <row r="11" spans="1:3" x14ac:dyDescent="0.25">
      <c r="A11" s="6" t="s">
        <v>45</v>
      </c>
      <c r="B11" s="8" t="s">
        <v>72</v>
      </c>
      <c r="C11" s="37">
        <v>115.2</v>
      </c>
    </row>
    <row r="13" spans="1:3" x14ac:dyDescent="0.25">
      <c r="A13" t="s">
        <v>73</v>
      </c>
    </row>
    <row r="24" spans="1:1" x14ac:dyDescent="0.25">
      <c r="A24" t="s">
        <v>65</v>
      </c>
    </row>
    <row r="26" spans="1:1" x14ac:dyDescent="0.25">
      <c r="A26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defaultColWidth="11.42578125" defaultRowHeight="15" x14ac:dyDescent="0.25"/>
  <cols>
    <col min="1" max="1" width="11.7109375" customWidth="1"/>
    <col min="2" max="2" width="15.7109375" customWidth="1"/>
    <col min="3" max="3" width="16.7109375" customWidth="1"/>
    <col min="4" max="4" width="24.7109375" customWidth="1"/>
  </cols>
  <sheetData>
    <row r="1" spans="1:4" x14ac:dyDescent="0.25">
      <c r="A1" t="s">
        <v>74</v>
      </c>
    </row>
    <row r="3" spans="1:4" x14ac:dyDescent="0.25">
      <c r="A3" s="4" t="s">
        <v>41</v>
      </c>
      <c r="B3" s="3" t="s">
        <v>67</v>
      </c>
      <c r="C3" s="3" t="s">
        <v>75</v>
      </c>
      <c r="D3" s="5" t="s">
        <v>76</v>
      </c>
    </row>
    <row r="4" spans="1:4" x14ac:dyDescent="0.25">
      <c r="A4" s="1" t="s">
        <v>46</v>
      </c>
      <c r="B4" t="s">
        <v>69</v>
      </c>
      <c r="C4" s="38">
        <v>8881</v>
      </c>
      <c r="D4" s="39">
        <v>2260122</v>
      </c>
    </row>
    <row r="5" spans="1:4" x14ac:dyDescent="0.25">
      <c r="A5" s="1" t="s">
        <v>45</v>
      </c>
      <c r="B5" t="s">
        <v>69</v>
      </c>
      <c r="C5" s="38">
        <v>8725</v>
      </c>
      <c r="D5" s="39">
        <v>2464025</v>
      </c>
    </row>
    <row r="6" spans="1:4" x14ac:dyDescent="0.25">
      <c r="A6" s="1" t="s">
        <v>46</v>
      </c>
      <c r="B6" t="s">
        <v>70</v>
      </c>
      <c r="C6" s="38">
        <v>27253</v>
      </c>
      <c r="D6" s="39">
        <v>1973875</v>
      </c>
    </row>
    <row r="7" spans="1:4" x14ac:dyDescent="0.25">
      <c r="A7" s="1" t="s">
        <v>45</v>
      </c>
      <c r="B7" t="s">
        <v>70</v>
      </c>
      <c r="C7" s="38">
        <v>38004</v>
      </c>
      <c r="D7" s="39">
        <v>2547189</v>
      </c>
    </row>
    <row r="8" spans="1:4" x14ac:dyDescent="0.25">
      <c r="A8" s="1" t="s">
        <v>46</v>
      </c>
      <c r="B8" t="s">
        <v>71</v>
      </c>
      <c r="C8" s="38">
        <v>37893</v>
      </c>
      <c r="D8" s="39">
        <v>713490</v>
      </c>
    </row>
    <row r="9" spans="1:4" x14ac:dyDescent="0.25">
      <c r="A9" s="1" t="s">
        <v>45</v>
      </c>
      <c r="B9" t="s">
        <v>71</v>
      </c>
      <c r="C9" s="38">
        <v>94401</v>
      </c>
      <c r="D9" s="39">
        <v>1227985</v>
      </c>
    </row>
    <row r="10" spans="1:4" x14ac:dyDescent="0.25">
      <c r="A10" s="1" t="s">
        <v>46</v>
      </c>
      <c r="B10" t="s">
        <v>72</v>
      </c>
      <c r="C10" s="38">
        <v>26512</v>
      </c>
      <c r="D10" s="39">
        <v>219067</v>
      </c>
    </row>
    <row r="11" spans="1:4" x14ac:dyDescent="0.25">
      <c r="A11" s="6" t="s">
        <v>45</v>
      </c>
      <c r="B11" s="8" t="s">
        <v>72</v>
      </c>
      <c r="C11" s="40">
        <v>115213</v>
      </c>
      <c r="D11" s="41">
        <v>573398</v>
      </c>
    </row>
    <row r="13" spans="1:4" x14ac:dyDescent="0.25">
      <c r="A13" t="s">
        <v>64</v>
      </c>
    </row>
    <row r="21" spans="1:1" x14ac:dyDescent="0.25">
      <c r="A21" t="s">
        <v>65</v>
      </c>
    </row>
    <row r="23" spans="1:1" x14ac:dyDescent="0.25">
      <c r="A2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11.42578125" defaultRowHeight="15" x14ac:dyDescent="0.25"/>
  <cols>
    <col min="1" max="1" width="21.7109375" customWidth="1"/>
    <col min="2" max="2" width="27.7109375" customWidth="1"/>
  </cols>
  <sheetData>
    <row r="1" spans="1:2" x14ac:dyDescent="0.25">
      <c r="A1" t="s">
        <v>77</v>
      </c>
    </row>
    <row r="3" spans="1:2" x14ac:dyDescent="0.25">
      <c r="A3" s="4" t="s">
        <v>78</v>
      </c>
      <c r="B3" s="5" t="s">
        <v>79</v>
      </c>
    </row>
    <row r="4" spans="1:2" x14ac:dyDescent="0.25">
      <c r="A4" s="1" t="s">
        <v>80</v>
      </c>
      <c r="B4" s="32">
        <v>29.67</v>
      </c>
    </row>
    <row r="5" spans="1:2" x14ac:dyDescent="0.25">
      <c r="A5" s="1" t="s">
        <v>81</v>
      </c>
      <c r="B5" s="32">
        <v>26.61</v>
      </c>
    </row>
    <row r="6" spans="1:2" x14ac:dyDescent="0.25">
      <c r="A6" s="1" t="s">
        <v>82</v>
      </c>
      <c r="B6" s="32">
        <v>30.95</v>
      </c>
    </row>
    <row r="7" spans="1:2" x14ac:dyDescent="0.25">
      <c r="A7" s="1" t="s">
        <v>83</v>
      </c>
      <c r="B7" s="32">
        <v>28.63</v>
      </c>
    </row>
    <row r="8" spans="1:2" x14ac:dyDescent="0.25">
      <c r="A8" s="1" t="s">
        <v>84</v>
      </c>
      <c r="B8" s="32">
        <v>33.950000000000003</v>
      </c>
    </row>
    <row r="9" spans="1:2" x14ac:dyDescent="0.25">
      <c r="A9" s="1" t="s">
        <v>85</v>
      </c>
      <c r="B9" s="32">
        <v>34.76</v>
      </c>
    </row>
    <row r="10" spans="1:2" x14ac:dyDescent="0.25">
      <c r="A10" s="1" t="s">
        <v>86</v>
      </c>
      <c r="B10" s="32">
        <v>31.86</v>
      </c>
    </row>
    <row r="11" spans="1:2" x14ac:dyDescent="0.25">
      <c r="A11" s="1" t="s">
        <v>87</v>
      </c>
      <c r="B11" s="32">
        <v>27.75</v>
      </c>
    </row>
    <row r="12" spans="1:2" x14ac:dyDescent="0.25">
      <c r="A12" s="1" t="s">
        <v>88</v>
      </c>
      <c r="B12" s="32">
        <v>35.36</v>
      </c>
    </row>
    <row r="13" spans="1:2" x14ac:dyDescent="0.25">
      <c r="A13" s="1" t="s">
        <v>89</v>
      </c>
      <c r="B13" s="32">
        <v>24.47</v>
      </c>
    </row>
    <row r="14" spans="1:2" x14ac:dyDescent="0.25">
      <c r="A14" s="1" t="s">
        <v>90</v>
      </c>
      <c r="B14" s="32">
        <v>24.46</v>
      </c>
    </row>
    <row r="15" spans="1:2" x14ac:dyDescent="0.25">
      <c r="A15" s="1" t="s">
        <v>91</v>
      </c>
      <c r="B15" s="32">
        <v>28.11</v>
      </c>
    </row>
    <row r="16" spans="1:2" x14ac:dyDescent="0.25">
      <c r="A16" s="1" t="s">
        <v>92</v>
      </c>
      <c r="B16" s="32">
        <v>35.33</v>
      </c>
    </row>
    <row r="17" spans="1:2" x14ac:dyDescent="0.25">
      <c r="A17" s="1" t="s">
        <v>93</v>
      </c>
      <c r="B17" s="32">
        <v>25.4</v>
      </c>
    </row>
    <row r="18" spans="1:2" x14ac:dyDescent="0.25">
      <c r="A18" s="1" t="s">
        <v>94</v>
      </c>
      <c r="B18" s="32">
        <v>28.13</v>
      </c>
    </row>
    <row r="19" spans="1:2" x14ac:dyDescent="0.25">
      <c r="A19" s="6" t="s">
        <v>95</v>
      </c>
      <c r="B19" s="33">
        <v>25.94</v>
      </c>
    </row>
    <row r="21" spans="1:2" x14ac:dyDescent="0.25">
      <c r="A21" t="s">
        <v>64</v>
      </c>
    </row>
    <row r="23" spans="1:2" x14ac:dyDescent="0.25">
      <c r="A23" t="s">
        <v>65</v>
      </c>
    </row>
    <row r="25" spans="1:2" x14ac:dyDescent="0.25">
      <c r="A25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11.42578125" defaultRowHeight="15" x14ac:dyDescent="0.25"/>
  <cols>
    <col min="1" max="1" width="21.7109375" customWidth="1"/>
    <col min="2" max="2" width="78.7109375" customWidth="1"/>
  </cols>
  <sheetData>
    <row r="1" spans="1:2" x14ac:dyDescent="0.25">
      <c r="A1" t="s">
        <v>96</v>
      </c>
    </row>
    <row r="3" spans="1:2" x14ac:dyDescent="0.25">
      <c r="A3" s="4" t="s">
        <v>78</v>
      </c>
      <c r="B3" s="5" t="s">
        <v>97</v>
      </c>
    </row>
    <row r="4" spans="1:2" x14ac:dyDescent="0.25">
      <c r="A4" s="1" t="s">
        <v>80</v>
      </c>
      <c r="B4" s="32">
        <v>29.87</v>
      </c>
    </row>
    <row r="5" spans="1:2" x14ac:dyDescent="0.25">
      <c r="A5" s="1" t="s">
        <v>81</v>
      </c>
      <c r="B5" s="32">
        <v>27.76</v>
      </c>
    </row>
    <row r="6" spans="1:2" x14ac:dyDescent="0.25">
      <c r="A6" s="1" t="s">
        <v>82</v>
      </c>
      <c r="B6" s="32">
        <v>29.96</v>
      </c>
    </row>
    <row r="7" spans="1:2" x14ac:dyDescent="0.25">
      <c r="A7" s="1" t="s">
        <v>83</v>
      </c>
      <c r="B7" s="32">
        <v>31.08</v>
      </c>
    </row>
    <row r="8" spans="1:2" x14ac:dyDescent="0.25">
      <c r="A8" s="1" t="s">
        <v>84</v>
      </c>
      <c r="B8" s="32">
        <v>32.78</v>
      </c>
    </row>
    <row r="9" spans="1:2" x14ac:dyDescent="0.25">
      <c r="A9" s="1" t="s">
        <v>85</v>
      </c>
      <c r="B9" s="32">
        <v>33.53</v>
      </c>
    </row>
    <row r="10" spans="1:2" x14ac:dyDescent="0.25">
      <c r="A10" s="1" t="s">
        <v>86</v>
      </c>
      <c r="B10" s="32">
        <v>29.86</v>
      </c>
    </row>
    <row r="11" spans="1:2" x14ac:dyDescent="0.25">
      <c r="A11" s="1" t="s">
        <v>87</v>
      </c>
      <c r="B11" s="32">
        <v>28.06</v>
      </c>
    </row>
    <row r="12" spans="1:2" x14ac:dyDescent="0.25">
      <c r="A12" s="1" t="s">
        <v>88</v>
      </c>
      <c r="B12" s="32">
        <v>35.1</v>
      </c>
    </row>
    <row r="13" spans="1:2" x14ac:dyDescent="0.25">
      <c r="A13" s="1" t="s">
        <v>89</v>
      </c>
      <c r="B13" s="32">
        <v>23.39</v>
      </c>
    </row>
    <row r="14" spans="1:2" x14ac:dyDescent="0.25">
      <c r="A14" s="1" t="s">
        <v>90</v>
      </c>
      <c r="B14" s="32">
        <v>25.23</v>
      </c>
    </row>
    <row r="15" spans="1:2" x14ac:dyDescent="0.25">
      <c r="A15" s="1" t="s">
        <v>91</v>
      </c>
      <c r="B15" s="32">
        <v>28.64</v>
      </c>
    </row>
    <row r="16" spans="1:2" x14ac:dyDescent="0.25">
      <c r="A16" s="1" t="s">
        <v>92</v>
      </c>
      <c r="B16" s="32">
        <v>34.159999999999997</v>
      </c>
    </row>
    <row r="17" spans="1:2" x14ac:dyDescent="0.25">
      <c r="A17" s="1" t="s">
        <v>93</v>
      </c>
      <c r="B17" s="32">
        <v>27.81</v>
      </c>
    </row>
    <row r="18" spans="1:2" x14ac:dyDescent="0.25">
      <c r="A18" s="1" t="s">
        <v>94</v>
      </c>
      <c r="B18" s="32">
        <v>29.62</v>
      </c>
    </row>
    <row r="19" spans="1:2" x14ac:dyDescent="0.25">
      <c r="A19" s="6" t="s">
        <v>95</v>
      </c>
      <c r="B19" s="33">
        <v>27.55</v>
      </c>
    </row>
    <row r="21" spans="1:2" x14ac:dyDescent="0.25">
      <c r="A21" t="s">
        <v>64</v>
      </c>
    </row>
    <row r="23" spans="1:2" x14ac:dyDescent="0.25">
      <c r="A23" t="s">
        <v>65</v>
      </c>
    </row>
    <row r="25" spans="1:2" x14ac:dyDescent="0.25">
      <c r="A25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/>
  </sheetViews>
  <sheetFormatPr defaultColWidth="11.42578125" defaultRowHeight="15" x14ac:dyDescent="0.25"/>
  <cols>
    <col min="1" max="1" width="6.7109375" customWidth="1"/>
    <col min="2" max="2" width="42.7109375" customWidth="1"/>
    <col min="3" max="3" width="44.7109375" customWidth="1"/>
    <col min="4" max="4" width="45.7109375" customWidth="1"/>
    <col min="5" max="6" width="62.7109375" customWidth="1"/>
    <col min="7" max="7" width="64.7109375" customWidth="1"/>
    <col min="8" max="8" width="101.7109375" customWidth="1"/>
    <col min="9" max="9" width="102.7109375" customWidth="1"/>
    <col min="10" max="10" width="104.7109375" customWidth="1"/>
  </cols>
  <sheetData>
    <row r="1" spans="1:10" x14ac:dyDescent="0.25">
      <c r="A1" t="s">
        <v>98</v>
      </c>
    </row>
    <row r="3" spans="1:10" x14ac:dyDescent="0.25">
      <c r="A3" s="4" t="s">
        <v>2</v>
      </c>
      <c r="B3" s="3" t="s">
        <v>99</v>
      </c>
      <c r="C3" s="3" t="s">
        <v>100</v>
      </c>
      <c r="D3" s="3" t="s">
        <v>101</v>
      </c>
      <c r="E3" s="3" t="s">
        <v>102</v>
      </c>
      <c r="F3" s="3" t="s">
        <v>103</v>
      </c>
      <c r="G3" s="3" t="s">
        <v>104</v>
      </c>
      <c r="H3" s="3" t="s">
        <v>105</v>
      </c>
      <c r="I3" s="3" t="s">
        <v>106</v>
      </c>
      <c r="J3" s="5" t="s">
        <v>107</v>
      </c>
    </row>
    <row r="4" spans="1:10" x14ac:dyDescent="0.25">
      <c r="A4" s="1">
        <v>2014</v>
      </c>
      <c r="B4" s="42">
        <v>102.8</v>
      </c>
      <c r="C4" s="42">
        <v>71.099999999999994</v>
      </c>
      <c r="D4" s="42">
        <v>31.7</v>
      </c>
      <c r="E4">
        <v>9</v>
      </c>
      <c r="F4">
        <v>10.9</v>
      </c>
      <c r="G4">
        <v>6.5</v>
      </c>
      <c r="H4">
        <v>8.8000000000000007</v>
      </c>
      <c r="I4">
        <v>10.6</v>
      </c>
      <c r="J4" s="32">
        <v>6.3</v>
      </c>
    </row>
    <row r="5" spans="1:10" x14ac:dyDescent="0.25">
      <c r="A5" s="1">
        <v>2015</v>
      </c>
      <c r="B5" s="42">
        <v>104.9</v>
      </c>
      <c r="C5" s="42">
        <v>71.900000000000006</v>
      </c>
      <c r="D5" s="42">
        <v>33</v>
      </c>
      <c r="E5">
        <v>9</v>
      </c>
      <c r="F5">
        <v>10.8</v>
      </c>
      <c r="G5">
        <v>6.6</v>
      </c>
      <c r="H5">
        <v>8.6999999999999993</v>
      </c>
      <c r="I5">
        <v>10.5</v>
      </c>
      <c r="J5" s="32">
        <v>6.4</v>
      </c>
    </row>
    <row r="6" spans="1:10" x14ac:dyDescent="0.25">
      <c r="A6" s="1">
        <v>2016</v>
      </c>
      <c r="B6" s="42">
        <v>108.2</v>
      </c>
      <c r="C6" s="42">
        <v>73.7</v>
      </c>
      <c r="D6" s="42">
        <v>34.5</v>
      </c>
      <c r="E6">
        <v>9.1999999999999993</v>
      </c>
      <c r="F6">
        <v>11</v>
      </c>
      <c r="G6">
        <v>6.8</v>
      </c>
      <c r="H6">
        <v>8.8000000000000007</v>
      </c>
      <c r="I6">
        <v>10.5</v>
      </c>
      <c r="J6" s="32">
        <v>6.5</v>
      </c>
    </row>
    <row r="7" spans="1:10" x14ac:dyDescent="0.25">
      <c r="A7" s="1">
        <v>2017</v>
      </c>
      <c r="B7" s="42">
        <v>108.9</v>
      </c>
      <c r="C7" s="42">
        <v>74.2</v>
      </c>
      <c r="D7" s="42">
        <v>34.700000000000003</v>
      </c>
      <c r="E7">
        <v>9.1</v>
      </c>
      <c r="F7">
        <v>11</v>
      </c>
      <c r="G7">
        <v>6.8</v>
      </c>
      <c r="H7">
        <v>8.6999999999999993</v>
      </c>
      <c r="I7">
        <v>10.5</v>
      </c>
      <c r="J7" s="32">
        <v>6.4</v>
      </c>
    </row>
    <row r="8" spans="1:10" x14ac:dyDescent="0.25">
      <c r="A8" s="1">
        <v>2018</v>
      </c>
      <c r="B8" s="42">
        <v>107.5</v>
      </c>
      <c r="C8" s="42">
        <v>73.400000000000006</v>
      </c>
      <c r="D8" s="42">
        <v>34.1</v>
      </c>
      <c r="E8">
        <v>8.9</v>
      </c>
      <c r="F8">
        <v>10.7</v>
      </c>
      <c r="G8">
        <v>6.6</v>
      </c>
      <c r="H8">
        <v>8.5</v>
      </c>
      <c r="I8">
        <v>10.199999999999999</v>
      </c>
      <c r="J8" s="32">
        <v>6.2</v>
      </c>
    </row>
    <row r="9" spans="1:10" x14ac:dyDescent="0.25">
      <c r="A9" s="1">
        <v>2019</v>
      </c>
      <c r="B9" s="42">
        <v>112.2</v>
      </c>
      <c r="C9" s="42">
        <v>76.599999999999994</v>
      </c>
      <c r="D9" s="42">
        <v>35.5</v>
      </c>
      <c r="E9">
        <v>9.3000000000000007</v>
      </c>
      <c r="F9">
        <v>11.1</v>
      </c>
      <c r="G9">
        <v>6.8</v>
      </c>
      <c r="H9">
        <v>8.6999999999999993</v>
      </c>
      <c r="I9">
        <v>10.5</v>
      </c>
      <c r="J9" s="32">
        <v>6.3</v>
      </c>
    </row>
    <row r="10" spans="1:10" x14ac:dyDescent="0.25">
      <c r="A10" s="1">
        <v>2020</v>
      </c>
      <c r="B10" s="42">
        <v>103.8</v>
      </c>
      <c r="C10" s="42">
        <v>71.2</v>
      </c>
      <c r="D10" s="42">
        <v>32.6</v>
      </c>
      <c r="E10">
        <v>8.6</v>
      </c>
      <c r="F10">
        <v>10.3</v>
      </c>
      <c r="G10">
        <v>6.2</v>
      </c>
      <c r="H10">
        <v>8.1</v>
      </c>
      <c r="I10">
        <v>9.8000000000000007</v>
      </c>
      <c r="J10" s="32">
        <v>5.8</v>
      </c>
    </row>
    <row r="11" spans="1:10" x14ac:dyDescent="0.25">
      <c r="A11" s="1">
        <v>2021</v>
      </c>
      <c r="B11" s="42">
        <v>108.7</v>
      </c>
      <c r="C11" s="42">
        <v>73.7</v>
      </c>
      <c r="D11" s="42">
        <v>34.9</v>
      </c>
      <c r="E11">
        <v>9</v>
      </c>
      <c r="F11">
        <v>10.7</v>
      </c>
      <c r="G11">
        <v>6.7</v>
      </c>
      <c r="H11">
        <v>8.4</v>
      </c>
      <c r="I11">
        <v>10.1</v>
      </c>
      <c r="J11" s="32">
        <v>6.2</v>
      </c>
    </row>
    <row r="12" spans="1:10" x14ac:dyDescent="0.25">
      <c r="A12" s="6">
        <v>2022</v>
      </c>
      <c r="B12" s="43">
        <v>107.2</v>
      </c>
      <c r="C12" s="43">
        <v>72.2</v>
      </c>
      <c r="D12" s="43">
        <v>35</v>
      </c>
      <c r="E12" s="8">
        <v>9</v>
      </c>
      <c r="F12" s="8">
        <v>10.6</v>
      </c>
      <c r="G12" s="8">
        <v>6.8</v>
      </c>
      <c r="H12" s="8">
        <v>8.4</v>
      </c>
      <c r="I12" s="8">
        <v>10</v>
      </c>
      <c r="J12" s="33">
        <v>6.2</v>
      </c>
    </row>
    <row r="14" spans="1:10" x14ac:dyDescent="0.25">
      <c r="A14" t="s">
        <v>64</v>
      </c>
    </row>
    <row r="16" spans="1:10" x14ac:dyDescent="0.25">
      <c r="A16" t="s">
        <v>108</v>
      </c>
    </row>
    <row r="18" spans="1:1" x14ac:dyDescent="0.25">
      <c r="A18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/>
  </sheetViews>
  <sheetFormatPr defaultColWidth="11.42578125" defaultRowHeight="15" x14ac:dyDescent="0.25"/>
  <cols>
    <col min="1" max="1" width="6.7109375" customWidth="1"/>
    <col min="2" max="2" width="15.7109375" customWidth="1"/>
    <col min="3" max="3" width="11.7109375" customWidth="1"/>
    <col min="4" max="4" width="57.7109375" customWidth="1"/>
  </cols>
  <sheetData>
    <row r="1" spans="1:4" x14ac:dyDescent="0.25">
      <c r="A1" t="s">
        <v>109</v>
      </c>
    </row>
    <row r="3" spans="1:4" x14ac:dyDescent="0.25">
      <c r="A3" s="4" t="s">
        <v>2</v>
      </c>
      <c r="B3" s="3" t="s">
        <v>67</v>
      </c>
      <c r="C3" s="3" t="s">
        <v>41</v>
      </c>
      <c r="D3" s="5" t="s">
        <v>110</v>
      </c>
    </row>
    <row r="4" spans="1:4" x14ac:dyDescent="0.25">
      <c r="A4" s="1">
        <v>2014</v>
      </c>
      <c r="B4" t="s">
        <v>69</v>
      </c>
      <c r="C4" t="s">
        <v>45</v>
      </c>
      <c r="D4" s="32">
        <v>1.41</v>
      </c>
    </row>
    <row r="5" spans="1:4" x14ac:dyDescent="0.25">
      <c r="A5" s="1">
        <v>2014</v>
      </c>
      <c r="B5" t="s">
        <v>69</v>
      </c>
      <c r="C5" t="s">
        <v>46</v>
      </c>
      <c r="D5" s="32">
        <v>1.56</v>
      </c>
    </row>
    <row r="6" spans="1:4" x14ac:dyDescent="0.25">
      <c r="A6" s="1">
        <v>2014</v>
      </c>
      <c r="B6" t="s">
        <v>69</v>
      </c>
      <c r="C6" t="s">
        <v>111</v>
      </c>
      <c r="D6" s="32">
        <v>1.48</v>
      </c>
    </row>
    <row r="7" spans="1:4" x14ac:dyDescent="0.25">
      <c r="A7" s="1">
        <v>2014</v>
      </c>
      <c r="B7" t="s">
        <v>70</v>
      </c>
      <c r="C7" t="s">
        <v>45</v>
      </c>
      <c r="D7" s="32">
        <v>5.12</v>
      </c>
    </row>
    <row r="8" spans="1:4" x14ac:dyDescent="0.25">
      <c r="A8" s="1">
        <v>2014</v>
      </c>
      <c r="B8" t="s">
        <v>70</v>
      </c>
      <c r="C8" t="s">
        <v>46</v>
      </c>
      <c r="D8" s="32">
        <v>4.7699999999999996</v>
      </c>
    </row>
    <row r="9" spans="1:4" x14ac:dyDescent="0.25">
      <c r="A9" s="1">
        <v>2014</v>
      </c>
      <c r="B9" t="s">
        <v>70</v>
      </c>
      <c r="C9" t="s">
        <v>111</v>
      </c>
      <c r="D9" s="32">
        <v>4.97</v>
      </c>
    </row>
    <row r="10" spans="1:4" x14ac:dyDescent="0.25">
      <c r="A10" s="1">
        <v>2014</v>
      </c>
      <c r="B10" t="s">
        <v>71</v>
      </c>
      <c r="C10" t="s">
        <v>45</v>
      </c>
      <c r="D10" s="32">
        <v>22.31</v>
      </c>
    </row>
    <row r="11" spans="1:4" x14ac:dyDescent="0.25">
      <c r="A11" s="1">
        <v>2014</v>
      </c>
      <c r="B11" t="s">
        <v>71</v>
      </c>
      <c r="C11" t="s">
        <v>46</v>
      </c>
      <c r="D11" s="32">
        <v>17.809999999999999</v>
      </c>
    </row>
    <row r="12" spans="1:4" x14ac:dyDescent="0.25">
      <c r="A12" s="1">
        <v>2014</v>
      </c>
      <c r="B12" t="s">
        <v>71</v>
      </c>
      <c r="C12" t="s">
        <v>111</v>
      </c>
      <c r="D12" s="32">
        <v>20.71</v>
      </c>
    </row>
    <row r="13" spans="1:4" x14ac:dyDescent="0.25">
      <c r="A13" s="1">
        <v>2014</v>
      </c>
      <c r="B13" t="s">
        <v>72</v>
      </c>
      <c r="C13" t="s">
        <v>45</v>
      </c>
      <c r="D13" s="32">
        <v>59.1</v>
      </c>
    </row>
    <row r="14" spans="1:4" x14ac:dyDescent="0.25">
      <c r="A14" s="1">
        <v>2014</v>
      </c>
      <c r="B14" t="s">
        <v>72</v>
      </c>
      <c r="C14" t="s">
        <v>46</v>
      </c>
      <c r="D14" s="32">
        <v>46.39</v>
      </c>
    </row>
    <row r="15" spans="1:4" x14ac:dyDescent="0.25">
      <c r="A15" s="1">
        <v>2014</v>
      </c>
      <c r="B15" t="s">
        <v>72</v>
      </c>
      <c r="C15" t="s">
        <v>111</v>
      </c>
      <c r="D15" s="32">
        <v>55.68</v>
      </c>
    </row>
    <row r="16" spans="1:4" x14ac:dyDescent="0.25">
      <c r="A16" s="1">
        <v>2022</v>
      </c>
      <c r="B16" t="s">
        <v>69</v>
      </c>
      <c r="C16" t="s">
        <v>45</v>
      </c>
      <c r="D16" s="32">
        <v>0.89</v>
      </c>
    </row>
    <row r="17" spans="1:4" x14ac:dyDescent="0.25">
      <c r="A17" s="1">
        <v>2022</v>
      </c>
      <c r="B17" t="s">
        <v>69</v>
      </c>
      <c r="C17" t="s">
        <v>46</v>
      </c>
      <c r="D17" s="32">
        <v>1.0900000000000001</v>
      </c>
    </row>
    <row r="18" spans="1:4" x14ac:dyDescent="0.25">
      <c r="A18" s="1">
        <v>2022</v>
      </c>
      <c r="B18" t="s">
        <v>69</v>
      </c>
      <c r="C18" t="s">
        <v>111</v>
      </c>
      <c r="D18" s="32">
        <v>0.99</v>
      </c>
    </row>
    <row r="19" spans="1:4" x14ac:dyDescent="0.25">
      <c r="A19" s="1">
        <v>2022</v>
      </c>
      <c r="B19" t="s">
        <v>70</v>
      </c>
      <c r="C19" t="s">
        <v>45</v>
      </c>
      <c r="D19" s="32">
        <v>4.38</v>
      </c>
    </row>
    <row r="20" spans="1:4" x14ac:dyDescent="0.25">
      <c r="A20" s="1">
        <v>2022</v>
      </c>
      <c r="B20" t="s">
        <v>70</v>
      </c>
      <c r="C20" t="s">
        <v>46</v>
      </c>
      <c r="D20" s="32">
        <v>4.53</v>
      </c>
    </row>
    <row r="21" spans="1:4" x14ac:dyDescent="0.25">
      <c r="A21" s="1">
        <v>2022</v>
      </c>
      <c r="B21" t="s">
        <v>70</v>
      </c>
      <c r="C21" t="s">
        <v>111</v>
      </c>
      <c r="D21" s="32">
        <v>4.4400000000000004</v>
      </c>
    </row>
    <row r="22" spans="1:4" x14ac:dyDescent="0.25">
      <c r="A22" s="1">
        <v>2022</v>
      </c>
      <c r="B22" t="s">
        <v>71</v>
      </c>
      <c r="C22" t="s">
        <v>45</v>
      </c>
      <c r="D22" s="32">
        <v>21.93</v>
      </c>
    </row>
    <row r="23" spans="1:4" x14ac:dyDescent="0.25">
      <c r="A23" s="1">
        <v>2022</v>
      </c>
      <c r="B23" t="s">
        <v>71</v>
      </c>
      <c r="C23" t="s">
        <v>46</v>
      </c>
      <c r="D23" s="32">
        <v>18.29</v>
      </c>
    </row>
    <row r="24" spans="1:4" x14ac:dyDescent="0.25">
      <c r="A24" s="1">
        <v>2022</v>
      </c>
      <c r="B24" t="s">
        <v>71</v>
      </c>
      <c r="C24" t="s">
        <v>111</v>
      </c>
      <c r="D24" s="32">
        <v>20.59</v>
      </c>
    </row>
    <row r="25" spans="1:4" x14ac:dyDescent="0.25">
      <c r="A25" s="1">
        <v>2022</v>
      </c>
      <c r="B25" t="s">
        <v>72</v>
      </c>
      <c r="C25" t="s">
        <v>45</v>
      </c>
      <c r="D25" s="32">
        <v>55.72</v>
      </c>
    </row>
    <row r="26" spans="1:4" x14ac:dyDescent="0.25">
      <c r="A26" s="1">
        <v>2022</v>
      </c>
      <c r="B26" t="s">
        <v>72</v>
      </c>
      <c r="C26" t="s">
        <v>46</v>
      </c>
      <c r="D26" s="32">
        <v>48.28</v>
      </c>
    </row>
    <row r="27" spans="1:4" x14ac:dyDescent="0.25">
      <c r="A27" s="6">
        <v>2022</v>
      </c>
      <c r="B27" s="8" t="s">
        <v>72</v>
      </c>
      <c r="C27" s="8" t="s">
        <v>111</v>
      </c>
      <c r="D27" s="33">
        <v>53.66</v>
      </c>
    </row>
    <row r="29" spans="1:4" x14ac:dyDescent="0.25">
      <c r="A29" t="s">
        <v>64</v>
      </c>
    </row>
    <row r="31" spans="1:4" x14ac:dyDescent="0.25">
      <c r="A31" t="s">
        <v>108</v>
      </c>
    </row>
    <row r="33" spans="1:1" x14ac:dyDescent="0.25">
      <c r="A3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/>
  </sheetViews>
  <sheetFormatPr defaultColWidth="11.42578125" defaultRowHeight="15" x14ac:dyDescent="0.25"/>
  <cols>
    <col min="1" max="1" width="67.7109375" customWidth="1"/>
    <col min="2" max="10" width="7.7109375" customWidth="1"/>
  </cols>
  <sheetData>
    <row r="1" spans="1:10" x14ac:dyDescent="0.25">
      <c r="A1" t="s">
        <v>112</v>
      </c>
    </row>
    <row r="3" spans="1:10" x14ac:dyDescent="0.25">
      <c r="A3" s="4" t="s">
        <v>113</v>
      </c>
      <c r="B3" s="3" t="s">
        <v>5</v>
      </c>
      <c r="C3" s="3" t="s">
        <v>114</v>
      </c>
      <c r="D3" s="3" t="s">
        <v>115</v>
      </c>
      <c r="E3" s="3" t="s">
        <v>116</v>
      </c>
      <c r="F3" s="3" t="s">
        <v>117</v>
      </c>
      <c r="G3" s="3" t="s">
        <v>36</v>
      </c>
      <c r="H3" s="3" t="s">
        <v>118</v>
      </c>
      <c r="I3" s="3" t="s">
        <v>119</v>
      </c>
      <c r="J3" s="5" t="s">
        <v>120</v>
      </c>
    </row>
    <row r="4" spans="1:10" x14ac:dyDescent="0.25">
      <c r="A4" s="1" t="s">
        <v>121</v>
      </c>
      <c r="B4">
        <v>158.5</v>
      </c>
      <c r="C4">
        <v>163.80000000000001</v>
      </c>
      <c r="D4">
        <v>170</v>
      </c>
      <c r="E4">
        <v>174</v>
      </c>
      <c r="F4">
        <v>173</v>
      </c>
      <c r="G4">
        <v>177.1</v>
      </c>
      <c r="H4">
        <v>171.5</v>
      </c>
      <c r="I4">
        <v>162.19999999999999</v>
      </c>
      <c r="J4" s="32">
        <v>155.6</v>
      </c>
    </row>
    <row r="5" spans="1:10" x14ac:dyDescent="0.25">
      <c r="A5" s="1" t="s">
        <v>122</v>
      </c>
      <c r="B5">
        <v>44.8</v>
      </c>
      <c r="C5">
        <v>46</v>
      </c>
      <c r="D5">
        <v>47.1</v>
      </c>
      <c r="E5">
        <v>45.9</v>
      </c>
      <c r="F5">
        <v>44.6</v>
      </c>
      <c r="G5">
        <v>44.9</v>
      </c>
      <c r="H5">
        <v>37.200000000000003</v>
      </c>
      <c r="I5">
        <v>38.299999999999997</v>
      </c>
      <c r="J5" s="32">
        <v>40.1</v>
      </c>
    </row>
    <row r="6" spans="1:10" x14ac:dyDescent="0.25">
      <c r="A6" s="1" t="s">
        <v>123</v>
      </c>
      <c r="B6">
        <v>39.799999999999997</v>
      </c>
      <c r="C6">
        <v>40.9</v>
      </c>
      <c r="D6">
        <v>41.5</v>
      </c>
      <c r="E6">
        <v>40.1</v>
      </c>
      <c r="F6">
        <v>38.9</v>
      </c>
      <c r="G6">
        <v>38.6</v>
      </c>
      <c r="H6">
        <v>31.9</v>
      </c>
      <c r="I6">
        <v>32.700000000000003</v>
      </c>
      <c r="J6" s="32">
        <v>34.299999999999997</v>
      </c>
    </row>
    <row r="7" spans="1:10" x14ac:dyDescent="0.25">
      <c r="A7" s="1" t="s">
        <v>124</v>
      </c>
      <c r="B7">
        <v>4.3</v>
      </c>
      <c r="C7">
        <v>4.8</v>
      </c>
      <c r="D7">
        <v>4.9000000000000004</v>
      </c>
      <c r="E7">
        <v>4.5999999999999996</v>
      </c>
      <c r="F7">
        <v>4.5</v>
      </c>
      <c r="G7">
        <v>4.4000000000000004</v>
      </c>
      <c r="H7">
        <v>3</v>
      </c>
      <c r="I7">
        <v>3</v>
      </c>
      <c r="J7" s="32">
        <v>3.4</v>
      </c>
    </row>
    <row r="8" spans="1:10" x14ac:dyDescent="0.25">
      <c r="A8" s="1" t="s">
        <v>125</v>
      </c>
      <c r="B8">
        <v>1.8</v>
      </c>
      <c r="C8">
        <v>2</v>
      </c>
      <c r="D8">
        <v>2.1</v>
      </c>
      <c r="E8">
        <v>2</v>
      </c>
      <c r="F8">
        <v>1.9</v>
      </c>
      <c r="G8">
        <v>1.9</v>
      </c>
      <c r="H8">
        <v>1.1000000000000001</v>
      </c>
      <c r="I8">
        <v>1.3</v>
      </c>
      <c r="J8" s="32">
        <v>1.5</v>
      </c>
    </row>
    <row r="9" spans="1:10" x14ac:dyDescent="0.25">
      <c r="A9" s="1" t="s">
        <v>126</v>
      </c>
      <c r="B9">
        <v>38.5</v>
      </c>
      <c r="C9">
        <v>40</v>
      </c>
      <c r="D9">
        <v>40.5</v>
      </c>
      <c r="E9">
        <v>40.1</v>
      </c>
      <c r="F9">
        <v>39.700000000000003</v>
      </c>
      <c r="G9">
        <v>38.9</v>
      </c>
      <c r="H9">
        <v>32.4</v>
      </c>
      <c r="I9">
        <v>32.4</v>
      </c>
      <c r="J9" s="32">
        <v>32.200000000000003</v>
      </c>
    </row>
    <row r="10" spans="1:10" x14ac:dyDescent="0.25">
      <c r="A10" s="1" t="s">
        <v>127</v>
      </c>
      <c r="B10">
        <v>3.4</v>
      </c>
      <c r="C10">
        <v>3.5</v>
      </c>
      <c r="D10">
        <v>3.5</v>
      </c>
      <c r="E10">
        <v>3.5</v>
      </c>
      <c r="F10">
        <v>3.4</v>
      </c>
      <c r="G10">
        <v>3.2</v>
      </c>
      <c r="H10">
        <v>2.2000000000000002</v>
      </c>
      <c r="I10">
        <v>2.2999999999999998</v>
      </c>
      <c r="J10" s="32">
        <v>2.2999999999999998</v>
      </c>
    </row>
    <row r="11" spans="1:10" x14ac:dyDescent="0.25">
      <c r="A11" s="1" t="s">
        <v>128</v>
      </c>
      <c r="B11">
        <v>0.4</v>
      </c>
      <c r="C11">
        <v>0.5</v>
      </c>
      <c r="D11">
        <v>0.5</v>
      </c>
      <c r="E11">
        <v>0.6</v>
      </c>
      <c r="F11">
        <v>0.6</v>
      </c>
      <c r="G11">
        <v>0.6</v>
      </c>
      <c r="H11">
        <v>0.5</v>
      </c>
      <c r="I11">
        <v>0.6</v>
      </c>
      <c r="J11" s="32">
        <v>0.6</v>
      </c>
    </row>
    <row r="12" spans="1:10" x14ac:dyDescent="0.25">
      <c r="A12" s="1" t="s">
        <v>129</v>
      </c>
      <c r="B12">
        <v>32.6</v>
      </c>
      <c r="C12">
        <v>33.6</v>
      </c>
      <c r="D12">
        <v>33.700000000000003</v>
      </c>
      <c r="E12">
        <v>32.9</v>
      </c>
      <c r="F12">
        <v>32.1</v>
      </c>
      <c r="G12">
        <v>31.4</v>
      </c>
      <c r="H12">
        <v>26.1</v>
      </c>
      <c r="I12">
        <v>26.2</v>
      </c>
      <c r="J12" s="32">
        <v>26.2</v>
      </c>
    </row>
    <row r="13" spans="1:10" x14ac:dyDescent="0.25">
      <c r="A13" s="1" t="s">
        <v>130</v>
      </c>
      <c r="B13">
        <v>2.9</v>
      </c>
      <c r="C13">
        <v>3.3</v>
      </c>
      <c r="D13">
        <v>3.5</v>
      </c>
      <c r="E13">
        <v>3.7</v>
      </c>
      <c r="F13">
        <v>4.3</v>
      </c>
      <c r="G13">
        <v>4.3</v>
      </c>
      <c r="H13">
        <v>3.8</v>
      </c>
      <c r="I13">
        <v>3.9</v>
      </c>
      <c r="J13" s="32">
        <v>3.9</v>
      </c>
    </row>
    <row r="14" spans="1:10" x14ac:dyDescent="0.25">
      <c r="A14" s="1" t="s">
        <v>131</v>
      </c>
      <c r="B14">
        <v>0.7</v>
      </c>
      <c r="C14">
        <v>0.8</v>
      </c>
      <c r="D14">
        <v>0.8</v>
      </c>
      <c r="E14">
        <v>0.8</v>
      </c>
      <c r="F14">
        <v>0.9</v>
      </c>
      <c r="G14">
        <v>0.8</v>
      </c>
      <c r="H14">
        <v>0.7</v>
      </c>
      <c r="I14">
        <v>0.6</v>
      </c>
      <c r="J14" s="32">
        <v>0.3</v>
      </c>
    </row>
    <row r="15" spans="1:10" x14ac:dyDescent="0.25">
      <c r="A15" s="1" t="s">
        <v>132</v>
      </c>
      <c r="B15">
        <v>1.1000000000000001</v>
      </c>
      <c r="C15">
        <v>1.2</v>
      </c>
      <c r="D15">
        <v>1.3</v>
      </c>
      <c r="E15">
        <v>1.4</v>
      </c>
      <c r="F15">
        <v>2</v>
      </c>
      <c r="G15">
        <v>3.3</v>
      </c>
      <c r="H15">
        <v>4</v>
      </c>
      <c r="I15">
        <v>5.5</v>
      </c>
      <c r="J15" s="32">
        <v>7.2</v>
      </c>
    </row>
    <row r="16" spans="1:10" x14ac:dyDescent="0.25">
      <c r="A16" s="1" t="s">
        <v>133</v>
      </c>
      <c r="B16">
        <v>3.7</v>
      </c>
      <c r="C16">
        <v>3.9</v>
      </c>
      <c r="D16">
        <v>4</v>
      </c>
      <c r="E16">
        <v>4</v>
      </c>
      <c r="F16">
        <v>3.8</v>
      </c>
      <c r="G16">
        <v>3.8</v>
      </c>
      <c r="H16">
        <v>3.3</v>
      </c>
      <c r="I16">
        <v>3.4</v>
      </c>
      <c r="J16" s="32">
        <v>3.3</v>
      </c>
    </row>
    <row r="17" spans="1:10" x14ac:dyDescent="0.25">
      <c r="A17" s="1" t="s">
        <v>134</v>
      </c>
      <c r="B17">
        <v>11</v>
      </c>
      <c r="C17">
        <v>10.8</v>
      </c>
      <c r="D17">
        <v>10.4</v>
      </c>
      <c r="E17">
        <v>11.1</v>
      </c>
      <c r="F17">
        <v>11.1</v>
      </c>
      <c r="G17">
        <v>11.1</v>
      </c>
      <c r="H17">
        <v>10.7</v>
      </c>
      <c r="I17">
        <v>10.4</v>
      </c>
      <c r="J17" s="32">
        <v>9</v>
      </c>
    </row>
    <row r="18" spans="1:10" x14ac:dyDescent="0.25">
      <c r="A18" s="124" t="s">
        <v>135</v>
      </c>
      <c r="B18" s="125">
        <v>218.2</v>
      </c>
      <c r="C18" s="125">
        <v>226.1</v>
      </c>
      <c r="D18" s="125">
        <v>231.8</v>
      </c>
      <c r="E18" s="125">
        <v>234.7</v>
      </c>
      <c r="F18" s="125">
        <v>233.6</v>
      </c>
      <c r="G18" s="125">
        <v>237.3</v>
      </c>
      <c r="H18" s="125">
        <v>225.2</v>
      </c>
      <c r="I18" s="125">
        <v>215.6</v>
      </c>
      <c r="J18" s="126">
        <v>210.1</v>
      </c>
    </row>
    <row r="20" spans="1:10" x14ac:dyDescent="0.25">
      <c r="A20" t="s">
        <v>73</v>
      </c>
    </row>
    <row r="22" spans="1:10" x14ac:dyDescent="0.25">
      <c r="A22" t="s">
        <v>136</v>
      </c>
    </row>
    <row r="23" spans="1:10" x14ac:dyDescent="0.25">
      <c r="A23" t="s">
        <v>137</v>
      </c>
    </row>
    <row r="24" spans="1:10" x14ac:dyDescent="0.25">
      <c r="A24" t="s">
        <v>138</v>
      </c>
    </row>
    <row r="25" spans="1:10" x14ac:dyDescent="0.25">
      <c r="A25" t="s">
        <v>139</v>
      </c>
    </row>
    <row r="26" spans="1:10" x14ac:dyDescent="0.25">
      <c r="A26" t="s">
        <v>140</v>
      </c>
    </row>
    <row r="27" spans="1:10" x14ac:dyDescent="0.25">
      <c r="A27" t="s">
        <v>141</v>
      </c>
    </row>
    <row r="28" spans="1:10" x14ac:dyDescent="0.25">
      <c r="A28" t="s">
        <v>142</v>
      </c>
    </row>
    <row r="29" spans="1:10" x14ac:dyDescent="0.25">
      <c r="A29" t="s">
        <v>143</v>
      </c>
    </row>
    <row r="30" spans="1:10" x14ac:dyDescent="0.25">
      <c r="A30" t="s">
        <v>144</v>
      </c>
    </row>
    <row r="31" spans="1:10" x14ac:dyDescent="0.25">
      <c r="A31" t="s">
        <v>145</v>
      </c>
    </row>
    <row r="33" spans="1:1" x14ac:dyDescent="0.25">
      <c r="A3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/>
  </sheetViews>
  <sheetFormatPr defaultColWidth="11.42578125" defaultRowHeight="15" x14ac:dyDescent="0.25"/>
  <cols>
    <col min="1" max="1" width="67.7109375" customWidth="1"/>
    <col min="2" max="2" width="8.7109375" customWidth="1"/>
    <col min="3" max="3" width="7.7109375" customWidth="1"/>
    <col min="4" max="5" width="8.7109375" customWidth="1"/>
    <col min="6" max="6" width="7.7109375" customWidth="1"/>
    <col min="7" max="10" width="8.7109375" customWidth="1"/>
  </cols>
  <sheetData>
    <row r="1" spans="1:10" x14ac:dyDescent="0.25">
      <c r="A1" t="s">
        <v>146</v>
      </c>
    </row>
    <row r="3" spans="1:10" x14ac:dyDescent="0.25">
      <c r="A3" s="4" t="s">
        <v>113</v>
      </c>
      <c r="B3" s="3" t="s">
        <v>5</v>
      </c>
      <c r="C3" s="3" t="s">
        <v>114</v>
      </c>
      <c r="D3" s="3" t="s">
        <v>115</v>
      </c>
      <c r="E3" s="3" t="s">
        <v>116</v>
      </c>
      <c r="F3" s="3" t="s">
        <v>117</v>
      </c>
      <c r="G3" s="3" t="s">
        <v>36</v>
      </c>
      <c r="H3" s="3" t="s">
        <v>118</v>
      </c>
      <c r="I3" s="3" t="s">
        <v>119</v>
      </c>
      <c r="J3" s="5" t="s">
        <v>120</v>
      </c>
    </row>
    <row r="4" spans="1:10" x14ac:dyDescent="0.25">
      <c r="A4" s="1" t="s">
        <v>121</v>
      </c>
      <c r="B4">
        <v>470.2</v>
      </c>
      <c r="C4">
        <v>465.7</v>
      </c>
      <c r="D4">
        <v>476.4</v>
      </c>
      <c r="E4">
        <v>480.1</v>
      </c>
      <c r="F4">
        <v>466.6</v>
      </c>
      <c r="G4">
        <v>478.7</v>
      </c>
      <c r="H4">
        <v>372</v>
      </c>
      <c r="I4">
        <v>317.5</v>
      </c>
      <c r="J4" s="32">
        <v>302.8</v>
      </c>
    </row>
    <row r="5" spans="1:10" x14ac:dyDescent="0.25">
      <c r="A5" s="1" t="s">
        <v>122</v>
      </c>
      <c r="B5">
        <v>103.3</v>
      </c>
      <c r="C5">
        <v>103.7</v>
      </c>
      <c r="D5">
        <v>103.9</v>
      </c>
      <c r="E5">
        <v>95.8</v>
      </c>
      <c r="F5">
        <v>91.3</v>
      </c>
      <c r="G5">
        <v>90.8</v>
      </c>
      <c r="H5">
        <v>75.5</v>
      </c>
      <c r="I5">
        <v>82.6</v>
      </c>
      <c r="J5" s="32">
        <v>86.3</v>
      </c>
    </row>
    <row r="6" spans="1:10" x14ac:dyDescent="0.25">
      <c r="A6" s="1" t="s">
        <v>123</v>
      </c>
      <c r="B6">
        <v>87.9</v>
      </c>
      <c r="C6">
        <v>87.6</v>
      </c>
      <c r="D6">
        <v>86.7</v>
      </c>
      <c r="E6">
        <v>78.900000000000006</v>
      </c>
      <c r="F6">
        <v>74.7</v>
      </c>
      <c r="G6">
        <v>72.599999999999994</v>
      </c>
      <c r="H6">
        <v>60.6</v>
      </c>
      <c r="I6">
        <v>64.599999999999994</v>
      </c>
      <c r="J6" s="32">
        <v>67.2</v>
      </c>
    </row>
    <row r="7" spans="1:10" x14ac:dyDescent="0.25">
      <c r="A7" s="1" t="s">
        <v>124</v>
      </c>
      <c r="B7">
        <v>4.4000000000000004</v>
      </c>
      <c r="C7">
        <v>4.9000000000000004</v>
      </c>
      <c r="D7">
        <v>5.0999999999999996</v>
      </c>
      <c r="E7">
        <v>4.8</v>
      </c>
      <c r="F7">
        <v>4.7</v>
      </c>
      <c r="G7">
        <v>4.5999999999999996</v>
      </c>
      <c r="H7">
        <v>3.1</v>
      </c>
      <c r="I7">
        <v>3.1</v>
      </c>
      <c r="J7" s="32">
        <v>3.5</v>
      </c>
    </row>
    <row r="8" spans="1:10" x14ac:dyDescent="0.25">
      <c r="A8" s="1" t="s">
        <v>125</v>
      </c>
      <c r="B8">
        <v>1.8</v>
      </c>
      <c r="C8">
        <v>2</v>
      </c>
      <c r="D8">
        <v>2.1</v>
      </c>
      <c r="E8">
        <v>2</v>
      </c>
      <c r="F8">
        <v>1.9</v>
      </c>
      <c r="G8">
        <v>1.9</v>
      </c>
      <c r="H8">
        <v>1.1000000000000001</v>
      </c>
      <c r="I8">
        <v>1.3</v>
      </c>
      <c r="J8" s="32">
        <v>1.6</v>
      </c>
    </row>
    <row r="9" spans="1:10" x14ac:dyDescent="0.25">
      <c r="A9" s="1" t="s">
        <v>126</v>
      </c>
      <c r="B9">
        <v>132.1</v>
      </c>
      <c r="C9">
        <v>135.4</v>
      </c>
      <c r="D9">
        <v>139.9</v>
      </c>
      <c r="E9">
        <v>136.80000000000001</v>
      </c>
      <c r="F9">
        <v>133.69999999999999</v>
      </c>
      <c r="G9">
        <v>134.6</v>
      </c>
      <c r="H9">
        <v>119</v>
      </c>
      <c r="I9">
        <v>125.1</v>
      </c>
      <c r="J9" s="32">
        <v>129.80000000000001</v>
      </c>
    </row>
    <row r="10" spans="1:10" x14ac:dyDescent="0.25">
      <c r="A10" s="1" t="s">
        <v>127</v>
      </c>
      <c r="B10">
        <v>3.8</v>
      </c>
      <c r="C10">
        <v>4</v>
      </c>
      <c r="D10">
        <v>4.0999999999999996</v>
      </c>
      <c r="E10">
        <v>4</v>
      </c>
      <c r="F10">
        <v>3.9</v>
      </c>
      <c r="G10">
        <v>3.6</v>
      </c>
      <c r="H10">
        <v>2.5</v>
      </c>
      <c r="I10">
        <v>2.6</v>
      </c>
      <c r="J10" s="32">
        <v>2.5</v>
      </c>
    </row>
    <row r="11" spans="1:10" x14ac:dyDescent="0.25">
      <c r="A11" s="1" t="s">
        <v>128</v>
      </c>
      <c r="B11">
        <v>6.4</v>
      </c>
      <c r="C11">
        <v>6.6</v>
      </c>
      <c r="D11">
        <v>9.8000000000000007</v>
      </c>
      <c r="E11">
        <v>10.6</v>
      </c>
      <c r="F11">
        <v>10.199999999999999</v>
      </c>
      <c r="G11">
        <v>10.9</v>
      </c>
      <c r="H11">
        <v>9.8000000000000007</v>
      </c>
      <c r="I11">
        <v>13.7</v>
      </c>
      <c r="J11" s="32">
        <v>18.899999999999999</v>
      </c>
    </row>
    <row r="12" spans="1:10" x14ac:dyDescent="0.25">
      <c r="A12" s="1" t="s">
        <v>129</v>
      </c>
      <c r="B12">
        <v>102</v>
      </c>
      <c r="C12">
        <v>102.5</v>
      </c>
      <c r="D12">
        <v>102.3</v>
      </c>
      <c r="E12">
        <v>95.4</v>
      </c>
      <c r="F12">
        <v>89.5</v>
      </c>
      <c r="G12">
        <v>89.2</v>
      </c>
      <c r="H12">
        <v>78.400000000000006</v>
      </c>
      <c r="I12">
        <v>80.400000000000006</v>
      </c>
      <c r="J12" s="32">
        <v>79.7</v>
      </c>
    </row>
    <row r="13" spans="1:10" x14ac:dyDescent="0.25">
      <c r="A13" s="1" t="s">
        <v>130</v>
      </c>
      <c r="B13">
        <v>18.3</v>
      </c>
      <c r="C13">
        <v>20.8</v>
      </c>
      <c r="D13">
        <v>22</v>
      </c>
      <c r="E13">
        <v>25</v>
      </c>
      <c r="F13">
        <v>28.4</v>
      </c>
      <c r="G13">
        <v>29.2</v>
      </c>
      <c r="H13">
        <v>26.9</v>
      </c>
      <c r="I13">
        <v>27.2</v>
      </c>
      <c r="J13" s="32">
        <v>27.7</v>
      </c>
    </row>
    <row r="14" spans="1:10" x14ac:dyDescent="0.25">
      <c r="A14" s="1" t="s">
        <v>131</v>
      </c>
      <c r="B14">
        <v>0.8</v>
      </c>
      <c r="C14">
        <v>0.9</v>
      </c>
      <c r="D14">
        <v>1</v>
      </c>
      <c r="E14">
        <v>0.9</v>
      </c>
      <c r="F14">
        <v>1</v>
      </c>
      <c r="G14">
        <v>0.9</v>
      </c>
      <c r="H14">
        <v>0.8</v>
      </c>
      <c r="I14">
        <v>0.6</v>
      </c>
      <c r="J14" s="32">
        <v>0.4</v>
      </c>
    </row>
    <row r="15" spans="1:10" x14ac:dyDescent="0.25">
      <c r="A15" s="1" t="s">
        <v>132</v>
      </c>
      <c r="B15">
        <v>29.4</v>
      </c>
      <c r="C15">
        <v>30.7</v>
      </c>
      <c r="D15">
        <v>34</v>
      </c>
      <c r="E15">
        <v>32.200000000000003</v>
      </c>
      <c r="F15">
        <v>56.3</v>
      </c>
      <c r="G15">
        <v>142.9</v>
      </c>
      <c r="H15">
        <v>208.9</v>
      </c>
      <c r="I15">
        <v>344.5</v>
      </c>
      <c r="J15" s="32">
        <v>481.9</v>
      </c>
    </row>
    <row r="16" spans="1:10" x14ac:dyDescent="0.25">
      <c r="A16" s="1" t="s">
        <v>133</v>
      </c>
      <c r="B16">
        <v>4.0999999999999996</v>
      </c>
      <c r="C16">
        <v>4.3</v>
      </c>
      <c r="D16">
        <v>4.5</v>
      </c>
      <c r="E16">
        <v>4.4000000000000004</v>
      </c>
      <c r="F16">
        <v>4.3</v>
      </c>
      <c r="G16">
        <v>4.2</v>
      </c>
      <c r="H16">
        <v>3.7</v>
      </c>
      <c r="I16">
        <v>3.8</v>
      </c>
      <c r="J16" s="32">
        <v>3.7</v>
      </c>
    </row>
    <row r="17" spans="1:10" x14ac:dyDescent="0.25">
      <c r="A17" s="1" t="s">
        <v>134</v>
      </c>
      <c r="B17">
        <v>289.8</v>
      </c>
      <c r="C17">
        <v>238.7</v>
      </c>
      <c r="D17">
        <v>236</v>
      </c>
      <c r="E17">
        <v>244.4</v>
      </c>
      <c r="F17">
        <v>234.1</v>
      </c>
      <c r="G17">
        <v>221</v>
      </c>
      <c r="H17">
        <v>224.7</v>
      </c>
      <c r="I17">
        <v>223.2</v>
      </c>
      <c r="J17" s="32">
        <v>238.4</v>
      </c>
    </row>
    <row r="18" spans="1:10" x14ac:dyDescent="0.25">
      <c r="A18" s="124" t="s">
        <v>147</v>
      </c>
      <c r="B18" s="125">
        <v>1038.5999999999999</v>
      </c>
      <c r="C18" s="125">
        <v>992.1</v>
      </c>
      <c r="D18" s="125">
        <v>1009.4</v>
      </c>
      <c r="E18" s="125">
        <v>1002.1</v>
      </c>
      <c r="F18" s="125">
        <v>996.3</v>
      </c>
      <c r="G18" s="125">
        <v>1081.9000000000001</v>
      </c>
      <c r="H18" s="125">
        <v>1011.6</v>
      </c>
      <c r="I18" s="125">
        <v>1103.8</v>
      </c>
      <c r="J18" s="126">
        <v>1250.4000000000001</v>
      </c>
    </row>
    <row r="20" spans="1:10" x14ac:dyDescent="0.25">
      <c r="A20" t="s">
        <v>73</v>
      </c>
    </row>
    <row r="22" spans="1:10" x14ac:dyDescent="0.25">
      <c r="A22" t="s">
        <v>136</v>
      </c>
    </row>
    <row r="23" spans="1:10" x14ac:dyDescent="0.25">
      <c r="A23" t="s">
        <v>137</v>
      </c>
    </row>
    <row r="24" spans="1:10" x14ac:dyDescent="0.25">
      <c r="A24" t="s">
        <v>138</v>
      </c>
    </row>
    <row r="25" spans="1:10" x14ac:dyDescent="0.25">
      <c r="A25" t="s">
        <v>139</v>
      </c>
    </row>
    <row r="26" spans="1:10" x14ac:dyDescent="0.25">
      <c r="A26" t="s">
        <v>140</v>
      </c>
    </row>
    <row r="27" spans="1:10" x14ac:dyDescent="0.25">
      <c r="A27" t="s">
        <v>141</v>
      </c>
    </row>
    <row r="28" spans="1:10" x14ac:dyDescent="0.25">
      <c r="A28" t="s">
        <v>142</v>
      </c>
    </row>
    <row r="29" spans="1:10" x14ac:dyDescent="0.25">
      <c r="A29" t="s">
        <v>143</v>
      </c>
    </row>
    <row r="30" spans="1:10" x14ac:dyDescent="0.25">
      <c r="A30" t="s">
        <v>144</v>
      </c>
    </row>
    <row r="31" spans="1:10" x14ac:dyDescent="0.25">
      <c r="A31" t="s">
        <v>148</v>
      </c>
    </row>
    <row r="33" spans="1:1" x14ac:dyDescent="0.25">
      <c r="A3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/>
  </sheetViews>
  <sheetFormatPr defaultColWidth="11.42578125" defaultRowHeight="15" x14ac:dyDescent="0.25"/>
  <cols>
    <col min="1" max="1" width="67.7109375" customWidth="1"/>
    <col min="2" max="10" width="7.7109375" customWidth="1"/>
  </cols>
  <sheetData>
    <row r="1" spans="1:10" x14ac:dyDescent="0.25">
      <c r="A1" t="s">
        <v>149</v>
      </c>
    </row>
    <row r="3" spans="1:10" x14ac:dyDescent="0.25">
      <c r="A3" s="4" t="s">
        <v>113</v>
      </c>
      <c r="B3" s="3" t="s">
        <v>5</v>
      </c>
      <c r="C3" s="3" t="s">
        <v>114</v>
      </c>
      <c r="D3" s="3" t="s">
        <v>115</v>
      </c>
      <c r="E3" s="3" t="s">
        <v>116</v>
      </c>
      <c r="F3" s="3" t="s">
        <v>117</v>
      </c>
      <c r="G3" s="3" t="s">
        <v>36</v>
      </c>
      <c r="H3" s="3" t="s">
        <v>118</v>
      </c>
      <c r="I3" s="3" t="s">
        <v>119</v>
      </c>
      <c r="J3" s="5" t="s">
        <v>120</v>
      </c>
    </row>
    <row r="4" spans="1:10" x14ac:dyDescent="0.25">
      <c r="A4" s="1" t="s">
        <v>122</v>
      </c>
      <c r="B4">
        <v>5.3</v>
      </c>
      <c r="C4">
        <v>5.3</v>
      </c>
      <c r="D4">
        <v>5.5</v>
      </c>
      <c r="E4">
        <v>5.3</v>
      </c>
      <c r="F4">
        <v>5.7</v>
      </c>
      <c r="G4">
        <v>6.2</v>
      </c>
      <c r="H4">
        <v>5.2</v>
      </c>
      <c r="I4">
        <v>7.2</v>
      </c>
      <c r="J4" s="32">
        <v>9.6999999999999993</v>
      </c>
    </row>
    <row r="5" spans="1:10" x14ac:dyDescent="0.25">
      <c r="A5" s="1" t="s">
        <v>123</v>
      </c>
      <c r="B5">
        <v>3.4</v>
      </c>
      <c r="C5">
        <v>3.4</v>
      </c>
      <c r="D5">
        <v>3.4</v>
      </c>
      <c r="E5">
        <v>3.2</v>
      </c>
      <c r="F5">
        <v>3.3</v>
      </c>
      <c r="G5">
        <v>3.5</v>
      </c>
      <c r="H5">
        <v>3.1</v>
      </c>
      <c r="I5">
        <v>4.2</v>
      </c>
      <c r="J5" s="32">
        <v>5.9</v>
      </c>
    </row>
    <row r="6" spans="1:10" x14ac:dyDescent="0.25">
      <c r="A6" s="1" t="s">
        <v>124</v>
      </c>
      <c r="B6">
        <v>5.3</v>
      </c>
      <c r="C6">
        <v>6.8</v>
      </c>
      <c r="D6">
        <v>6.8</v>
      </c>
      <c r="E6">
        <v>6.7</v>
      </c>
      <c r="F6">
        <v>6.4</v>
      </c>
      <c r="G6">
        <v>6.8</v>
      </c>
      <c r="H6">
        <v>4.7</v>
      </c>
      <c r="I6">
        <v>5.3</v>
      </c>
      <c r="J6" s="32">
        <v>8.5</v>
      </c>
    </row>
    <row r="7" spans="1:10" x14ac:dyDescent="0.25">
      <c r="A7" s="1" t="s">
        <v>125</v>
      </c>
      <c r="B7">
        <v>3.8</v>
      </c>
      <c r="C7">
        <v>4.2</v>
      </c>
      <c r="D7">
        <v>4.5999999999999996</v>
      </c>
      <c r="E7">
        <v>4.5999999999999996</v>
      </c>
      <c r="F7">
        <v>4.7</v>
      </c>
      <c r="G7">
        <v>5.0999999999999996</v>
      </c>
      <c r="H7">
        <v>3.3</v>
      </c>
      <c r="I7">
        <v>4</v>
      </c>
      <c r="J7" s="32">
        <v>6.6</v>
      </c>
    </row>
    <row r="8" spans="1:10" x14ac:dyDescent="0.25">
      <c r="A8" s="1" t="s">
        <v>126</v>
      </c>
      <c r="B8">
        <v>46.6</v>
      </c>
      <c r="C8">
        <v>48.3</v>
      </c>
      <c r="D8">
        <v>52.4</v>
      </c>
      <c r="E8">
        <v>55.1</v>
      </c>
      <c r="F8">
        <v>57</v>
      </c>
      <c r="G8">
        <v>57.7</v>
      </c>
      <c r="H8">
        <v>45.5</v>
      </c>
      <c r="I8">
        <v>41</v>
      </c>
      <c r="J8" s="32">
        <v>43.7</v>
      </c>
    </row>
    <row r="9" spans="1:10" x14ac:dyDescent="0.25">
      <c r="A9" s="1" t="s">
        <v>127</v>
      </c>
      <c r="B9">
        <v>21.2</v>
      </c>
      <c r="C9">
        <v>22.6</v>
      </c>
      <c r="D9">
        <v>24</v>
      </c>
      <c r="E9">
        <v>23.8</v>
      </c>
      <c r="F9">
        <v>24.2</v>
      </c>
      <c r="G9">
        <v>24.6</v>
      </c>
      <c r="H9">
        <v>18</v>
      </c>
      <c r="I9">
        <v>17.600000000000001</v>
      </c>
      <c r="J9" s="32">
        <v>22.7</v>
      </c>
    </row>
    <row r="10" spans="1:10" x14ac:dyDescent="0.25">
      <c r="A10" s="1" t="s">
        <v>128</v>
      </c>
      <c r="B10">
        <v>2.5</v>
      </c>
      <c r="C10">
        <v>2.6</v>
      </c>
      <c r="D10">
        <v>2.9</v>
      </c>
      <c r="E10">
        <v>4</v>
      </c>
      <c r="F10">
        <v>4.0999999999999996</v>
      </c>
      <c r="G10">
        <v>4.5</v>
      </c>
      <c r="H10">
        <v>3.1</v>
      </c>
      <c r="I10">
        <v>4</v>
      </c>
      <c r="J10" s="32">
        <v>5.0999999999999996</v>
      </c>
    </row>
    <row r="11" spans="1:10" x14ac:dyDescent="0.25">
      <c r="A11" s="1" t="s">
        <v>129</v>
      </c>
      <c r="B11">
        <v>5</v>
      </c>
      <c r="C11">
        <v>5.0999999999999996</v>
      </c>
      <c r="D11">
        <v>5.2</v>
      </c>
      <c r="E11">
        <v>5.3</v>
      </c>
      <c r="F11">
        <v>5.2</v>
      </c>
      <c r="G11">
        <v>5.0999999999999996</v>
      </c>
      <c r="H11">
        <v>4.3</v>
      </c>
      <c r="I11">
        <v>4.5</v>
      </c>
      <c r="J11" s="32">
        <v>5.0999999999999996</v>
      </c>
    </row>
    <row r="12" spans="1:10" x14ac:dyDescent="0.25">
      <c r="A12" s="1" t="s">
        <v>130</v>
      </c>
      <c r="B12">
        <v>2.1</v>
      </c>
      <c r="C12">
        <v>2.2999999999999998</v>
      </c>
      <c r="D12">
        <v>2.5</v>
      </c>
      <c r="E12">
        <v>3.6</v>
      </c>
      <c r="F12">
        <v>4.0999999999999996</v>
      </c>
      <c r="G12">
        <v>4</v>
      </c>
      <c r="H12">
        <v>3.3</v>
      </c>
      <c r="I12">
        <v>3.4</v>
      </c>
      <c r="J12" s="32">
        <v>3.7</v>
      </c>
    </row>
    <row r="13" spans="1:10" x14ac:dyDescent="0.25">
      <c r="A13" s="1" t="s">
        <v>131</v>
      </c>
      <c r="B13">
        <v>15.8</v>
      </c>
      <c r="C13">
        <v>15.6</v>
      </c>
      <c r="D13">
        <v>17.8</v>
      </c>
      <c r="E13">
        <v>18.399999999999999</v>
      </c>
      <c r="F13">
        <v>19.5</v>
      </c>
      <c r="G13">
        <v>19.600000000000001</v>
      </c>
      <c r="H13">
        <v>16.8</v>
      </c>
      <c r="I13">
        <v>11.5</v>
      </c>
      <c r="J13" s="32">
        <v>7.1</v>
      </c>
    </row>
    <row r="14" spans="1:10" x14ac:dyDescent="0.25">
      <c r="A14" s="1" t="s">
        <v>132</v>
      </c>
      <c r="B14">
        <v>1.9</v>
      </c>
      <c r="C14">
        <v>2.1</v>
      </c>
      <c r="D14">
        <v>2.2999999999999998</v>
      </c>
      <c r="E14">
        <v>2.2000000000000002</v>
      </c>
      <c r="F14">
        <v>4</v>
      </c>
      <c r="G14">
        <v>10.8</v>
      </c>
      <c r="H14">
        <v>16.3</v>
      </c>
      <c r="I14">
        <v>27.4</v>
      </c>
      <c r="J14" s="32">
        <v>32.6</v>
      </c>
    </row>
    <row r="15" spans="1:10" x14ac:dyDescent="0.25">
      <c r="A15" s="1" t="s">
        <v>134</v>
      </c>
      <c r="B15">
        <v>75.599999999999994</v>
      </c>
      <c r="C15">
        <v>79.900000000000006</v>
      </c>
      <c r="D15">
        <v>82.8</v>
      </c>
      <c r="E15">
        <v>91.2</v>
      </c>
      <c r="F15">
        <v>101.1</v>
      </c>
      <c r="G15">
        <v>112.9</v>
      </c>
      <c r="H15">
        <v>115.5</v>
      </c>
      <c r="I15">
        <v>105.5</v>
      </c>
      <c r="J15" s="32">
        <v>86.1</v>
      </c>
    </row>
    <row r="16" spans="1:10" x14ac:dyDescent="0.25">
      <c r="A16" s="124" t="s">
        <v>147</v>
      </c>
      <c r="B16" s="125">
        <v>138</v>
      </c>
      <c r="C16" s="125">
        <v>147.80000000000001</v>
      </c>
      <c r="D16" s="125">
        <v>156.80000000000001</v>
      </c>
      <c r="E16" s="125">
        <v>168.7</v>
      </c>
      <c r="F16" s="125">
        <v>183.9</v>
      </c>
      <c r="G16" s="125">
        <v>205.7</v>
      </c>
      <c r="H16" s="125">
        <v>196.1</v>
      </c>
      <c r="I16" s="125">
        <v>194.9</v>
      </c>
      <c r="J16" s="126">
        <v>189.6</v>
      </c>
    </row>
    <row r="18" spans="1:1" x14ac:dyDescent="0.25">
      <c r="A18" t="s">
        <v>73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150</v>
      </c>
    </row>
    <row r="31" spans="1:1" x14ac:dyDescent="0.25">
      <c r="A3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/>
  </sheetViews>
  <sheetFormatPr defaultColWidth="11.42578125" defaultRowHeight="15" x14ac:dyDescent="0.25"/>
  <cols>
    <col min="1" max="1" width="6.7109375" customWidth="1"/>
    <col min="2" max="2" width="50.7109375" customWidth="1"/>
  </cols>
  <sheetData>
    <row r="1" spans="1:2" x14ac:dyDescent="0.25">
      <c r="A1" t="s">
        <v>151</v>
      </c>
    </row>
    <row r="3" spans="1:2" x14ac:dyDescent="0.25">
      <c r="A3" s="4" t="s">
        <v>2</v>
      </c>
      <c r="B3" s="5" t="s">
        <v>152</v>
      </c>
    </row>
    <row r="4" spans="1:2" x14ac:dyDescent="0.25">
      <c r="A4" s="1" t="s">
        <v>5</v>
      </c>
      <c r="B4" s="44">
        <v>1554.5</v>
      </c>
    </row>
    <row r="5" spans="1:2" x14ac:dyDescent="0.25">
      <c r="A5" s="1" t="s">
        <v>114</v>
      </c>
      <c r="B5" s="44">
        <v>1617.2</v>
      </c>
    </row>
    <row r="6" spans="1:2" x14ac:dyDescent="0.25">
      <c r="A6" s="1" t="s">
        <v>115</v>
      </c>
      <c r="B6" s="44">
        <v>1686.7</v>
      </c>
    </row>
    <row r="7" spans="1:2" x14ac:dyDescent="0.25">
      <c r="A7" s="1" t="s">
        <v>116</v>
      </c>
      <c r="B7" s="44">
        <v>1829.8</v>
      </c>
    </row>
    <row r="8" spans="1:2" x14ac:dyDescent="0.25">
      <c r="A8" s="1" t="s">
        <v>117</v>
      </c>
      <c r="B8" s="44">
        <v>2018.3</v>
      </c>
    </row>
    <row r="9" spans="1:2" x14ac:dyDescent="0.25">
      <c r="A9" s="1" t="s">
        <v>36</v>
      </c>
      <c r="B9" s="44">
        <v>2307.3000000000002</v>
      </c>
    </row>
    <row r="10" spans="1:2" x14ac:dyDescent="0.25">
      <c r="A10" s="1" t="s">
        <v>118</v>
      </c>
      <c r="B10" s="44">
        <v>2543.4</v>
      </c>
    </row>
    <row r="11" spans="1:2" x14ac:dyDescent="0.25">
      <c r="A11" s="1" t="s">
        <v>119</v>
      </c>
      <c r="B11" s="44">
        <v>2488.3000000000002</v>
      </c>
    </row>
    <row r="12" spans="1:2" x14ac:dyDescent="0.25">
      <c r="A12" s="6" t="s">
        <v>120</v>
      </c>
      <c r="B12" s="45">
        <v>2425.8000000000002</v>
      </c>
    </row>
    <row r="14" spans="1:2" x14ac:dyDescent="0.25">
      <c r="A14" t="s">
        <v>73</v>
      </c>
    </row>
    <row r="19" spans="1:1" x14ac:dyDescent="0.25">
      <c r="A19" t="s">
        <v>136</v>
      </c>
    </row>
    <row r="20" spans="1:1" x14ac:dyDescent="0.25">
      <c r="A20" t="s">
        <v>153</v>
      </c>
    </row>
    <row r="21" spans="1:1" x14ac:dyDescent="0.25">
      <c r="A21" t="s">
        <v>150</v>
      </c>
    </row>
    <row r="23" spans="1:1" x14ac:dyDescent="0.25">
      <c r="A2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workbookViewId="0"/>
  </sheetViews>
  <sheetFormatPr defaultColWidth="11.42578125" defaultRowHeight="15" x14ac:dyDescent="0.25"/>
  <cols>
    <col min="1" max="1" width="17.7109375" customWidth="1"/>
    <col min="2" max="2" width="6.7109375" customWidth="1"/>
    <col min="3" max="3" width="9.7109375" customWidth="1"/>
  </cols>
  <sheetData>
    <row r="1" spans="1:3" x14ac:dyDescent="0.25">
      <c r="A1" t="s">
        <v>0</v>
      </c>
    </row>
    <row r="3" spans="1:3" x14ac:dyDescent="0.25">
      <c r="A3" s="4" t="s">
        <v>1</v>
      </c>
      <c r="B3" s="3" t="s">
        <v>2</v>
      </c>
      <c r="C3" s="5" t="s">
        <v>3</v>
      </c>
    </row>
    <row r="4" spans="1:3" x14ac:dyDescent="0.25">
      <c r="A4" s="1" t="s">
        <v>4</v>
      </c>
      <c r="B4" t="s">
        <v>5</v>
      </c>
      <c r="C4" s="2">
        <v>8.0000000000000002E-3</v>
      </c>
    </row>
    <row r="5" spans="1:3" x14ac:dyDescent="0.25">
      <c r="A5" s="1" t="s">
        <v>6</v>
      </c>
      <c r="B5" t="s">
        <v>5</v>
      </c>
      <c r="C5" s="2">
        <v>8.9999999999999993E-3</v>
      </c>
    </row>
    <row r="6" spans="1:3" x14ac:dyDescent="0.25">
      <c r="A6" s="1" t="s">
        <v>7</v>
      </c>
      <c r="B6" t="s">
        <v>5</v>
      </c>
      <c r="C6" s="2">
        <v>0.01</v>
      </c>
    </row>
    <row r="7" spans="1:3" x14ac:dyDescent="0.25">
      <c r="A7" s="1" t="s">
        <v>8</v>
      </c>
      <c r="B7" t="s">
        <v>5</v>
      </c>
      <c r="C7" s="2">
        <v>1.0999999999999999E-2</v>
      </c>
    </row>
    <row r="8" spans="1:3" x14ac:dyDescent="0.25">
      <c r="A8" s="1" t="s">
        <v>9</v>
      </c>
      <c r="B8" t="s">
        <v>5</v>
      </c>
      <c r="C8" s="2">
        <v>1.0999999999999999E-2</v>
      </c>
    </row>
    <row r="9" spans="1:3" x14ac:dyDescent="0.25">
      <c r="A9" s="1" t="s">
        <v>10</v>
      </c>
      <c r="B9" t="s">
        <v>5</v>
      </c>
      <c r="C9" s="2">
        <v>1.2E-2</v>
      </c>
    </row>
    <row r="10" spans="1:3" x14ac:dyDescent="0.25">
      <c r="A10" s="1" t="s">
        <v>11</v>
      </c>
      <c r="B10" t="s">
        <v>5</v>
      </c>
      <c r="C10" s="2">
        <v>1.2E-2</v>
      </c>
    </row>
    <row r="11" spans="1:3" x14ac:dyDescent="0.25">
      <c r="A11" s="1" t="s">
        <v>12</v>
      </c>
      <c r="B11" t="s">
        <v>5</v>
      </c>
      <c r="C11" s="2">
        <v>1.2E-2</v>
      </c>
    </row>
    <row r="12" spans="1:3" x14ac:dyDescent="0.25">
      <c r="A12" s="1" t="s">
        <v>13</v>
      </c>
      <c r="B12" t="s">
        <v>5</v>
      </c>
      <c r="C12" s="2">
        <v>1.2999999999999999E-2</v>
      </c>
    </row>
    <row r="13" spans="1:3" x14ac:dyDescent="0.25">
      <c r="A13" s="1" t="s">
        <v>14</v>
      </c>
      <c r="B13" t="s">
        <v>5</v>
      </c>
      <c r="C13" s="2">
        <v>1.2999999999999999E-2</v>
      </c>
    </row>
    <row r="14" spans="1:3" x14ac:dyDescent="0.25">
      <c r="A14" s="1" t="s">
        <v>15</v>
      </c>
      <c r="B14" t="s">
        <v>5</v>
      </c>
      <c r="C14" s="2">
        <v>1.4E-2</v>
      </c>
    </row>
    <row r="15" spans="1:3" x14ac:dyDescent="0.25">
      <c r="A15" s="1" t="s">
        <v>16</v>
      </c>
      <c r="B15" t="s">
        <v>5</v>
      </c>
      <c r="C15" s="2">
        <v>1.4E-2</v>
      </c>
    </row>
    <row r="16" spans="1:3" x14ac:dyDescent="0.25">
      <c r="A16" s="1" t="s">
        <v>17</v>
      </c>
      <c r="B16" t="s">
        <v>5</v>
      </c>
      <c r="C16" s="2">
        <v>1.4E-2</v>
      </c>
    </row>
    <row r="17" spans="1:3" x14ac:dyDescent="0.25">
      <c r="A17" s="1" t="s">
        <v>18</v>
      </c>
      <c r="B17" t="s">
        <v>5</v>
      </c>
      <c r="C17" s="2">
        <v>1.4E-2</v>
      </c>
    </row>
    <row r="18" spans="1:3" x14ac:dyDescent="0.25">
      <c r="A18" s="1" t="s">
        <v>19</v>
      </c>
      <c r="B18" t="s">
        <v>5</v>
      </c>
      <c r="C18" s="2">
        <v>1.4E-2</v>
      </c>
    </row>
    <row r="19" spans="1:3" x14ac:dyDescent="0.25">
      <c r="A19" s="1" t="s">
        <v>20</v>
      </c>
      <c r="B19" t="s">
        <v>5</v>
      </c>
      <c r="C19" s="2">
        <v>1.4999999999999999E-2</v>
      </c>
    </row>
    <row r="20" spans="1:3" x14ac:dyDescent="0.25">
      <c r="A20" s="1" t="s">
        <v>21</v>
      </c>
      <c r="B20" t="s">
        <v>5</v>
      </c>
      <c r="C20" s="2">
        <v>1.4999999999999999E-2</v>
      </c>
    </row>
    <row r="21" spans="1:3" x14ac:dyDescent="0.25">
      <c r="A21" s="1" t="s">
        <v>22</v>
      </c>
      <c r="B21" t="s">
        <v>5</v>
      </c>
      <c r="C21" s="2">
        <v>1.4999999999999999E-2</v>
      </c>
    </row>
    <row r="22" spans="1:3" x14ac:dyDescent="0.25">
      <c r="A22" s="1" t="s">
        <v>23</v>
      </c>
      <c r="B22" t="s">
        <v>5</v>
      </c>
      <c r="C22" s="2">
        <v>1.4999999999999999E-2</v>
      </c>
    </row>
    <row r="23" spans="1:3" x14ac:dyDescent="0.25">
      <c r="A23" s="1" t="s">
        <v>24</v>
      </c>
      <c r="B23" t="s">
        <v>5</v>
      </c>
      <c r="C23" s="2">
        <v>1.4999999999999999E-2</v>
      </c>
    </row>
    <row r="24" spans="1:3" x14ac:dyDescent="0.25">
      <c r="A24" s="1" t="s">
        <v>25</v>
      </c>
      <c r="B24" t="s">
        <v>5</v>
      </c>
      <c r="C24" s="2">
        <v>1.4999999999999999E-2</v>
      </c>
    </row>
    <row r="25" spans="1:3" x14ac:dyDescent="0.25">
      <c r="A25" s="1" t="s">
        <v>26</v>
      </c>
      <c r="B25" t="s">
        <v>5</v>
      </c>
      <c r="C25" s="2">
        <v>1.4999999999999999E-2</v>
      </c>
    </row>
    <row r="26" spans="1:3" x14ac:dyDescent="0.25">
      <c r="A26" s="1" t="s">
        <v>27</v>
      </c>
      <c r="B26" t="s">
        <v>5</v>
      </c>
      <c r="C26" s="2">
        <v>1.4999999999999999E-2</v>
      </c>
    </row>
    <row r="27" spans="1:3" x14ac:dyDescent="0.25">
      <c r="A27" s="1" t="s">
        <v>28</v>
      </c>
      <c r="B27" t="s">
        <v>5</v>
      </c>
      <c r="C27" s="2">
        <v>1.6E-2</v>
      </c>
    </row>
    <row r="28" spans="1:3" x14ac:dyDescent="0.25">
      <c r="A28" s="1" t="s">
        <v>29</v>
      </c>
      <c r="B28" t="s">
        <v>5</v>
      </c>
      <c r="C28" s="2">
        <v>1.6E-2</v>
      </c>
    </row>
    <row r="29" spans="1:3" x14ac:dyDescent="0.25">
      <c r="A29" s="1" t="s">
        <v>30</v>
      </c>
      <c r="B29" t="s">
        <v>5</v>
      </c>
      <c r="C29" s="2">
        <v>1.6E-2</v>
      </c>
    </row>
    <row r="30" spans="1:3" x14ac:dyDescent="0.25">
      <c r="A30" s="1" t="s">
        <v>31</v>
      </c>
      <c r="B30" t="s">
        <v>5</v>
      </c>
      <c r="C30" s="2">
        <v>1.6E-2</v>
      </c>
    </row>
    <row r="31" spans="1:3" x14ac:dyDescent="0.25">
      <c r="A31" s="1" t="s">
        <v>32</v>
      </c>
      <c r="B31" t="s">
        <v>5</v>
      </c>
      <c r="C31" s="2">
        <v>1.6E-2</v>
      </c>
    </row>
    <row r="32" spans="1:3" x14ac:dyDescent="0.25">
      <c r="A32" s="1" t="s">
        <v>33</v>
      </c>
      <c r="B32" t="s">
        <v>5</v>
      </c>
      <c r="C32" s="2">
        <v>1.7000000000000001E-2</v>
      </c>
    </row>
    <row r="33" spans="1:3" x14ac:dyDescent="0.25">
      <c r="A33" s="1" t="s">
        <v>34</v>
      </c>
      <c r="B33" t="s">
        <v>5</v>
      </c>
      <c r="C33" s="2">
        <v>1.7000000000000001E-2</v>
      </c>
    </row>
    <row r="34" spans="1:3" x14ac:dyDescent="0.25">
      <c r="A34" s="1" t="s">
        <v>35</v>
      </c>
      <c r="B34" t="s">
        <v>5</v>
      </c>
      <c r="C34" s="2">
        <v>0.02</v>
      </c>
    </row>
    <row r="35" spans="1:3" x14ac:dyDescent="0.25">
      <c r="A35" s="1" t="s">
        <v>4</v>
      </c>
      <c r="B35" t="s">
        <v>36</v>
      </c>
      <c r="C35" s="2">
        <v>8.9999999999999993E-3</v>
      </c>
    </row>
    <row r="36" spans="1:3" x14ac:dyDescent="0.25">
      <c r="A36" s="1" t="s">
        <v>6</v>
      </c>
      <c r="B36" t="s">
        <v>36</v>
      </c>
      <c r="C36" s="2">
        <v>0.01</v>
      </c>
    </row>
    <row r="37" spans="1:3" x14ac:dyDescent="0.25">
      <c r="A37" s="1" t="s">
        <v>7</v>
      </c>
      <c r="B37" t="s">
        <v>36</v>
      </c>
      <c r="C37" s="2">
        <v>0.01</v>
      </c>
    </row>
    <row r="38" spans="1:3" x14ac:dyDescent="0.25">
      <c r="A38" s="1" t="s">
        <v>8</v>
      </c>
      <c r="B38" t="s">
        <v>36</v>
      </c>
      <c r="C38" s="2">
        <v>1.2E-2</v>
      </c>
    </row>
    <row r="39" spans="1:3" x14ac:dyDescent="0.25">
      <c r="A39" s="1" t="s">
        <v>10</v>
      </c>
      <c r="B39" t="s">
        <v>36</v>
      </c>
      <c r="C39" s="2">
        <v>1.2E-2</v>
      </c>
    </row>
    <row r="40" spans="1:3" x14ac:dyDescent="0.25">
      <c r="A40" s="1" t="s">
        <v>9</v>
      </c>
      <c r="B40" t="s">
        <v>36</v>
      </c>
      <c r="C40" s="2">
        <v>1.2999999999999999E-2</v>
      </c>
    </row>
    <row r="41" spans="1:3" x14ac:dyDescent="0.25">
      <c r="A41" s="1" t="s">
        <v>13</v>
      </c>
      <c r="B41" t="s">
        <v>36</v>
      </c>
      <c r="C41" s="2">
        <v>1.2999999999999999E-2</v>
      </c>
    </row>
    <row r="42" spans="1:3" x14ac:dyDescent="0.25">
      <c r="A42" s="1" t="s">
        <v>11</v>
      </c>
      <c r="B42" t="s">
        <v>36</v>
      </c>
      <c r="C42" s="2">
        <v>1.2999999999999999E-2</v>
      </c>
    </row>
    <row r="43" spans="1:3" x14ac:dyDescent="0.25">
      <c r="A43" s="1" t="s">
        <v>16</v>
      </c>
      <c r="B43" t="s">
        <v>36</v>
      </c>
      <c r="C43" s="2">
        <v>1.4E-2</v>
      </c>
    </row>
    <row r="44" spans="1:3" x14ac:dyDescent="0.25">
      <c r="A44" s="1" t="s">
        <v>12</v>
      </c>
      <c r="B44" t="s">
        <v>36</v>
      </c>
      <c r="C44" s="2">
        <v>1.4999999999999999E-2</v>
      </c>
    </row>
    <row r="45" spans="1:3" x14ac:dyDescent="0.25">
      <c r="A45" s="1" t="s">
        <v>17</v>
      </c>
      <c r="B45" t="s">
        <v>36</v>
      </c>
      <c r="C45" s="2">
        <v>1.4999999999999999E-2</v>
      </c>
    </row>
    <row r="46" spans="1:3" x14ac:dyDescent="0.25">
      <c r="A46" s="1" t="s">
        <v>19</v>
      </c>
      <c r="B46" t="s">
        <v>36</v>
      </c>
      <c r="C46" s="2">
        <v>1.4999999999999999E-2</v>
      </c>
    </row>
    <row r="47" spans="1:3" x14ac:dyDescent="0.25">
      <c r="A47" s="1" t="s">
        <v>14</v>
      </c>
      <c r="B47" t="s">
        <v>36</v>
      </c>
      <c r="C47" s="2">
        <v>1.4999999999999999E-2</v>
      </c>
    </row>
    <row r="48" spans="1:3" x14ac:dyDescent="0.25">
      <c r="A48" s="1" t="s">
        <v>20</v>
      </c>
      <c r="B48" t="s">
        <v>36</v>
      </c>
      <c r="C48" s="2">
        <v>1.4999999999999999E-2</v>
      </c>
    </row>
    <row r="49" spans="1:3" x14ac:dyDescent="0.25">
      <c r="A49" s="1" t="s">
        <v>21</v>
      </c>
      <c r="B49" t="s">
        <v>36</v>
      </c>
      <c r="C49" s="2">
        <v>1.6E-2</v>
      </c>
    </row>
    <row r="50" spans="1:3" x14ac:dyDescent="0.25">
      <c r="A50" s="1" t="s">
        <v>15</v>
      </c>
      <c r="B50" t="s">
        <v>36</v>
      </c>
      <c r="C50" s="2">
        <v>1.6E-2</v>
      </c>
    </row>
    <row r="51" spans="1:3" x14ac:dyDescent="0.25">
      <c r="A51" s="1" t="s">
        <v>24</v>
      </c>
      <c r="B51" t="s">
        <v>36</v>
      </c>
      <c r="C51" s="2">
        <v>1.6E-2</v>
      </c>
    </row>
    <row r="52" spans="1:3" x14ac:dyDescent="0.25">
      <c r="A52" s="1" t="s">
        <v>23</v>
      </c>
      <c r="B52" t="s">
        <v>36</v>
      </c>
      <c r="C52" s="2">
        <v>1.7000000000000001E-2</v>
      </c>
    </row>
    <row r="53" spans="1:3" x14ac:dyDescent="0.25">
      <c r="A53" s="1" t="s">
        <v>22</v>
      </c>
      <c r="B53" t="s">
        <v>36</v>
      </c>
      <c r="C53" s="2">
        <v>1.7000000000000001E-2</v>
      </c>
    </row>
    <row r="54" spans="1:3" x14ac:dyDescent="0.25">
      <c r="A54" s="1" t="s">
        <v>25</v>
      </c>
      <c r="B54" t="s">
        <v>36</v>
      </c>
      <c r="C54" s="2">
        <v>1.7000000000000001E-2</v>
      </c>
    </row>
    <row r="55" spans="1:3" x14ac:dyDescent="0.25">
      <c r="A55" s="1" t="s">
        <v>26</v>
      </c>
      <c r="B55" t="s">
        <v>36</v>
      </c>
      <c r="C55" s="2">
        <v>1.7000000000000001E-2</v>
      </c>
    </row>
    <row r="56" spans="1:3" x14ac:dyDescent="0.25">
      <c r="A56" s="1" t="s">
        <v>18</v>
      </c>
      <c r="B56" t="s">
        <v>36</v>
      </c>
      <c r="C56" s="2">
        <v>1.7000000000000001E-2</v>
      </c>
    </row>
    <row r="57" spans="1:3" x14ac:dyDescent="0.25">
      <c r="A57" s="1" t="s">
        <v>27</v>
      </c>
      <c r="B57" t="s">
        <v>36</v>
      </c>
      <c r="C57" s="2">
        <v>1.7999999999999999E-2</v>
      </c>
    </row>
    <row r="58" spans="1:3" x14ac:dyDescent="0.25">
      <c r="A58" s="1" t="s">
        <v>28</v>
      </c>
      <c r="B58" t="s">
        <v>36</v>
      </c>
      <c r="C58" s="2">
        <v>1.7999999999999999E-2</v>
      </c>
    </row>
    <row r="59" spans="1:3" x14ac:dyDescent="0.25">
      <c r="A59" s="1" t="s">
        <v>29</v>
      </c>
      <c r="B59" t="s">
        <v>36</v>
      </c>
      <c r="C59" s="2">
        <v>1.7999999999999999E-2</v>
      </c>
    </row>
    <row r="60" spans="1:3" x14ac:dyDescent="0.25">
      <c r="A60" s="1" t="s">
        <v>30</v>
      </c>
      <c r="B60" t="s">
        <v>36</v>
      </c>
      <c r="C60" s="2">
        <v>1.7999999999999999E-2</v>
      </c>
    </row>
    <row r="61" spans="1:3" x14ac:dyDescent="0.25">
      <c r="A61" s="1" t="s">
        <v>31</v>
      </c>
      <c r="B61" t="s">
        <v>36</v>
      </c>
      <c r="C61" s="2">
        <v>1.7999999999999999E-2</v>
      </c>
    </row>
    <row r="62" spans="1:3" x14ac:dyDescent="0.25">
      <c r="A62" s="1" t="s">
        <v>34</v>
      </c>
      <c r="B62" t="s">
        <v>36</v>
      </c>
      <c r="C62" s="2">
        <v>1.9E-2</v>
      </c>
    </row>
    <row r="63" spans="1:3" x14ac:dyDescent="0.25">
      <c r="A63" s="1" t="s">
        <v>32</v>
      </c>
      <c r="B63" t="s">
        <v>36</v>
      </c>
      <c r="C63" s="2">
        <v>1.9E-2</v>
      </c>
    </row>
    <row r="64" spans="1:3" x14ac:dyDescent="0.25">
      <c r="A64" s="1" t="s">
        <v>33</v>
      </c>
      <c r="B64" t="s">
        <v>36</v>
      </c>
      <c r="C64" s="2">
        <v>0.02</v>
      </c>
    </row>
    <row r="65" spans="1:3" x14ac:dyDescent="0.25">
      <c r="A65" s="6" t="s">
        <v>35</v>
      </c>
      <c r="B65" s="8" t="s">
        <v>36</v>
      </c>
      <c r="C65" s="7">
        <v>2.3E-2</v>
      </c>
    </row>
    <row r="67" spans="1:3" x14ac:dyDescent="0.25">
      <c r="A67" t="s">
        <v>37</v>
      </c>
    </row>
    <row r="69" spans="1:3" x14ac:dyDescent="0.25">
      <c r="A69" t="s">
        <v>38</v>
      </c>
    </row>
    <row r="71" spans="1:3" x14ac:dyDescent="0.25">
      <c r="A7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/>
  </sheetViews>
  <sheetFormatPr defaultColWidth="11.42578125" defaultRowHeight="15" x14ac:dyDescent="0.25"/>
  <cols>
    <col min="1" max="1" width="67.7109375" customWidth="1"/>
    <col min="2" max="10" width="6.7109375" customWidth="1"/>
  </cols>
  <sheetData>
    <row r="1" spans="1:10" x14ac:dyDescent="0.25">
      <c r="A1" t="s">
        <v>154</v>
      </c>
    </row>
    <row r="3" spans="1:10" x14ac:dyDescent="0.25">
      <c r="A3" s="4" t="s">
        <v>113</v>
      </c>
      <c r="B3" s="3" t="s">
        <v>5</v>
      </c>
      <c r="C3" s="3" t="s">
        <v>114</v>
      </c>
      <c r="D3" s="3" t="s">
        <v>115</v>
      </c>
      <c r="E3" s="3" t="s">
        <v>116</v>
      </c>
      <c r="F3" s="3" t="s">
        <v>117</v>
      </c>
      <c r="G3" s="3" t="s">
        <v>36</v>
      </c>
      <c r="H3" s="3" t="s">
        <v>118</v>
      </c>
      <c r="I3" s="3" t="s">
        <v>119</v>
      </c>
      <c r="J3" s="5" t="s">
        <v>120</v>
      </c>
    </row>
    <row r="4" spans="1:10" x14ac:dyDescent="0.25">
      <c r="A4" s="1" t="s">
        <v>121</v>
      </c>
      <c r="B4">
        <v>27.8</v>
      </c>
      <c r="C4">
        <v>27.7</v>
      </c>
      <c r="D4">
        <v>29.4</v>
      </c>
      <c r="E4">
        <v>31.5</v>
      </c>
      <c r="F4">
        <v>31.1</v>
      </c>
      <c r="G4">
        <v>32.5</v>
      </c>
      <c r="H4">
        <v>28.8</v>
      </c>
      <c r="I4">
        <v>28.6</v>
      </c>
      <c r="J4" s="32">
        <v>28.4</v>
      </c>
    </row>
    <row r="5" spans="1:10" x14ac:dyDescent="0.25">
      <c r="A5" s="1" t="s">
        <v>122</v>
      </c>
      <c r="B5">
        <v>34.200000000000003</v>
      </c>
      <c r="C5">
        <v>35.1</v>
      </c>
      <c r="D5">
        <v>35.700000000000003</v>
      </c>
      <c r="E5">
        <v>34.299999999999997</v>
      </c>
      <c r="F5">
        <v>32.9</v>
      </c>
      <c r="G5">
        <v>32.6</v>
      </c>
      <c r="H5">
        <v>26.4</v>
      </c>
      <c r="I5">
        <v>26.3</v>
      </c>
      <c r="J5" s="32">
        <v>27.1</v>
      </c>
    </row>
    <row r="6" spans="1:10" x14ac:dyDescent="0.25">
      <c r="A6" s="1" t="s">
        <v>123</v>
      </c>
      <c r="B6">
        <v>31.2</v>
      </c>
      <c r="C6">
        <v>32.1</v>
      </c>
      <c r="D6">
        <v>32.700000000000003</v>
      </c>
      <c r="E6">
        <v>31.3</v>
      </c>
      <c r="F6">
        <v>29.9</v>
      </c>
      <c r="G6">
        <v>29.5</v>
      </c>
      <c r="H6">
        <v>23.9</v>
      </c>
      <c r="I6">
        <v>23.7</v>
      </c>
      <c r="J6" s="32">
        <v>24.5</v>
      </c>
    </row>
    <row r="7" spans="1:10" x14ac:dyDescent="0.25">
      <c r="A7" s="1" t="s">
        <v>124</v>
      </c>
      <c r="B7">
        <v>3.3</v>
      </c>
      <c r="C7">
        <v>3.6</v>
      </c>
      <c r="D7">
        <v>3.6</v>
      </c>
      <c r="E7">
        <v>3.4</v>
      </c>
      <c r="F7">
        <v>3.2</v>
      </c>
      <c r="G7">
        <v>3.1</v>
      </c>
      <c r="H7">
        <v>1.9</v>
      </c>
      <c r="I7">
        <v>2.1</v>
      </c>
      <c r="J7" s="32">
        <v>2.4</v>
      </c>
    </row>
    <row r="8" spans="1:10" x14ac:dyDescent="0.25">
      <c r="A8" s="1" t="s">
        <v>125</v>
      </c>
      <c r="B8">
        <v>1.8</v>
      </c>
      <c r="C8">
        <v>2</v>
      </c>
      <c r="D8">
        <v>2.1</v>
      </c>
      <c r="E8">
        <v>2</v>
      </c>
      <c r="F8">
        <v>1.9</v>
      </c>
      <c r="G8">
        <v>1.9</v>
      </c>
      <c r="H8">
        <v>1.1000000000000001</v>
      </c>
      <c r="I8">
        <v>1.3</v>
      </c>
      <c r="J8" s="32">
        <v>1.5</v>
      </c>
    </row>
    <row r="9" spans="1:10" x14ac:dyDescent="0.25">
      <c r="A9" s="1" t="s">
        <v>126</v>
      </c>
      <c r="B9">
        <v>0</v>
      </c>
      <c r="C9">
        <v>0</v>
      </c>
      <c r="D9">
        <v>0</v>
      </c>
      <c r="E9">
        <v>0.1</v>
      </c>
      <c r="F9">
        <v>0.1</v>
      </c>
      <c r="G9">
        <v>0.1</v>
      </c>
      <c r="H9">
        <v>0.1</v>
      </c>
      <c r="I9">
        <v>0.1</v>
      </c>
      <c r="J9" s="32">
        <v>0.2</v>
      </c>
    </row>
    <row r="10" spans="1:10" x14ac:dyDescent="0.25">
      <c r="A10" s="1" t="s">
        <v>132</v>
      </c>
      <c r="B10">
        <v>0.6</v>
      </c>
      <c r="C10">
        <v>0.7</v>
      </c>
      <c r="D10">
        <v>0.8</v>
      </c>
      <c r="E10">
        <v>0.8</v>
      </c>
      <c r="F10">
        <v>1.1000000000000001</v>
      </c>
      <c r="G10">
        <v>1.6</v>
      </c>
      <c r="H10">
        <v>1.8</v>
      </c>
      <c r="I10">
        <v>2.2000000000000002</v>
      </c>
      <c r="J10" s="32">
        <v>2.9</v>
      </c>
    </row>
    <row r="11" spans="1:10" x14ac:dyDescent="0.25">
      <c r="A11" s="1" t="s">
        <v>133</v>
      </c>
      <c r="B11">
        <v>1.3</v>
      </c>
      <c r="C11">
        <v>1.3</v>
      </c>
      <c r="D11">
        <v>1.3</v>
      </c>
      <c r="E11">
        <v>1.2</v>
      </c>
      <c r="F11">
        <v>1.1000000000000001</v>
      </c>
      <c r="G11">
        <v>1</v>
      </c>
      <c r="H11">
        <v>0.8</v>
      </c>
      <c r="I11">
        <v>1</v>
      </c>
      <c r="J11" s="32">
        <v>0.9</v>
      </c>
    </row>
    <row r="12" spans="1:10" x14ac:dyDescent="0.25">
      <c r="A12" s="1" t="s">
        <v>134</v>
      </c>
      <c r="B12">
        <v>3.2</v>
      </c>
      <c r="C12">
        <v>3.1</v>
      </c>
      <c r="D12">
        <v>2.9</v>
      </c>
      <c r="E12">
        <v>3.1</v>
      </c>
      <c r="F12">
        <v>3</v>
      </c>
      <c r="G12">
        <v>3.1</v>
      </c>
      <c r="H12">
        <v>2.9</v>
      </c>
      <c r="I12">
        <v>2.8</v>
      </c>
      <c r="J12" s="32">
        <v>2.2000000000000002</v>
      </c>
    </row>
    <row r="13" spans="1:10" x14ac:dyDescent="0.25">
      <c r="A13" s="124" t="s">
        <v>135</v>
      </c>
      <c r="B13" s="125">
        <v>58.9</v>
      </c>
      <c r="C13" s="125">
        <v>60</v>
      </c>
      <c r="D13" s="125">
        <v>61.2</v>
      </c>
      <c r="E13" s="125">
        <v>61.5</v>
      </c>
      <c r="F13" s="125">
        <v>60.3</v>
      </c>
      <c r="G13" s="125">
        <v>61.5</v>
      </c>
      <c r="H13" s="125">
        <v>53.4</v>
      </c>
      <c r="I13" s="125">
        <v>53.2</v>
      </c>
      <c r="J13" s="126">
        <v>53.6</v>
      </c>
    </row>
    <row r="15" spans="1:10" x14ac:dyDescent="0.25">
      <c r="A15" t="s">
        <v>73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144</v>
      </c>
    </row>
    <row r="20" spans="1:1" x14ac:dyDescent="0.25">
      <c r="A20" t="s">
        <v>145</v>
      </c>
    </row>
    <row r="22" spans="1:1" x14ac:dyDescent="0.25">
      <c r="A22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/>
  </sheetViews>
  <sheetFormatPr defaultColWidth="11.42578125" defaultRowHeight="15" x14ac:dyDescent="0.25"/>
  <cols>
    <col min="1" max="1" width="6.7109375" customWidth="1"/>
    <col min="2" max="2" width="39.7109375" customWidth="1"/>
  </cols>
  <sheetData>
    <row r="1" spans="1:2" x14ac:dyDescent="0.25">
      <c r="A1" t="s">
        <v>155</v>
      </c>
    </row>
    <row r="3" spans="1:2" x14ac:dyDescent="0.25">
      <c r="A3" s="4" t="s">
        <v>2</v>
      </c>
      <c r="B3" s="5" t="s">
        <v>156</v>
      </c>
    </row>
    <row r="4" spans="1:2" x14ac:dyDescent="0.25">
      <c r="A4" s="1">
        <v>2014</v>
      </c>
      <c r="B4" s="32">
        <v>5.83</v>
      </c>
    </row>
    <row r="5" spans="1:2" x14ac:dyDescent="0.25">
      <c r="A5" s="1">
        <v>2015</v>
      </c>
      <c r="B5" s="32">
        <v>6.29</v>
      </c>
    </row>
    <row r="6" spans="1:2" x14ac:dyDescent="0.25">
      <c r="A6" s="1">
        <v>2016</v>
      </c>
      <c r="B6" s="32">
        <v>6.22</v>
      </c>
    </row>
    <row r="7" spans="1:2" x14ac:dyDescent="0.25">
      <c r="A7" s="1">
        <v>2017</v>
      </c>
      <c r="B7" s="32">
        <v>6.22</v>
      </c>
    </row>
    <row r="8" spans="1:2" x14ac:dyDescent="0.25">
      <c r="A8" s="1">
        <v>2018</v>
      </c>
      <c r="B8" s="32">
        <v>6.36</v>
      </c>
    </row>
    <row r="9" spans="1:2" x14ac:dyDescent="0.25">
      <c r="A9" s="1">
        <v>2019</v>
      </c>
      <c r="B9" s="32">
        <v>6.32</v>
      </c>
    </row>
    <row r="10" spans="1:2" x14ac:dyDescent="0.25">
      <c r="A10" s="1">
        <v>2020</v>
      </c>
      <c r="B10" s="32">
        <v>7.03</v>
      </c>
    </row>
    <row r="11" spans="1:2" x14ac:dyDescent="0.25">
      <c r="A11" s="1">
        <v>2021</v>
      </c>
      <c r="B11" s="32">
        <v>7.21</v>
      </c>
    </row>
    <row r="12" spans="1:2" x14ac:dyDescent="0.25">
      <c r="A12" s="6">
        <v>2022</v>
      </c>
      <c r="B12" s="33">
        <v>6.82</v>
      </c>
    </row>
    <row r="14" spans="1:2" x14ac:dyDescent="0.25">
      <c r="A14" t="s">
        <v>73</v>
      </c>
    </row>
    <row r="20" spans="1:1" x14ac:dyDescent="0.25">
      <c r="A20" t="s">
        <v>138</v>
      </c>
    </row>
    <row r="22" spans="1:1" x14ac:dyDescent="0.25">
      <c r="A22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/>
  </sheetViews>
  <sheetFormatPr defaultColWidth="11.42578125" defaultRowHeight="15" x14ac:dyDescent="0.25"/>
  <cols>
    <col min="1" max="1" width="67.7109375" customWidth="1"/>
    <col min="2" max="10" width="7.7109375" customWidth="1"/>
  </cols>
  <sheetData>
    <row r="1" spans="1:10" x14ac:dyDescent="0.25">
      <c r="A1" t="s">
        <v>157</v>
      </c>
    </row>
    <row r="3" spans="1:10" x14ac:dyDescent="0.25">
      <c r="A3" s="4" t="s">
        <v>113</v>
      </c>
      <c r="B3" s="3" t="s">
        <v>5</v>
      </c>
      <c r="C3" s="3" t="s">
        <v>114</v>
      </c>
      <c r="D3" s="3" t="s">
        <v>115</v>
      </c>
      <c r="E3" s="3" t="s">
        <v>116</v>
      </c>
      <c r="F3" s="3" t="s">
        <v>117</v>
      </c>
      <c r="G3" s="3" t="s">
        <v>36</v>
      </c>
      <c r="H3" s="3" t="s">
        <v>118</v>
      </c>
      <c r="I3" s="3" t="s">
        <v>119</v>
      </c>
      <c r="J3" s="5" t="s">
        <v>120</v>
      </c>
    </row>
    <row r="4" spans="1:10" x14ac:dyDescent="0.25">
      <c r="A4" s="1" t="s">
        <v>121</v>
      </c>
      <c r="B4">
        <v>77.2</v>
      </c>
      <c r="C4">
        <v>72.2</v>
      </c>
      <c r="D4">
        <v>73.5</v>
      </c>
      <c r="E4">
        <v>78.2</v>
      </c>
      <c r="F4">
        <v>75.5</v>
      </c>
      <c r="G4">
        <v>78.099999999999994</v>
      </c>
      <c r="H4">
        <v>63.2</v>
      </c>
      <c r="I4">
        <v>59.8</v>
      </c>
      <c r="J4" s="32">
        <v>59.6</v>
      </c>
    </row>
    <row r="5" spans="1:10" x14ac:dyDescent="0.25">
      <c r="A5" s="1" t="s">
        <v>122</v>
      </c>
      <c r="B5">
        <v>78.2</v>
      </c>
      <c r="C5">
        <v>78.2</v>
      </c>
      <c r="D5">
        <v>77.599999999999994</v>
      </c>
      <c r="E5">
        <v>70.400000000000006</v>
      </c>
      <c r="F5">
        <v>66.7</v>
      </c>
      <c r="G5">
        <v>65</v>
      </c>
      <c r="H5">
        <v>52.8</v>
      </c>
      <c r="I5">
        <v>56.1</v>
      </c>
      <c r="J5" s="32">
        <v>57.7</v>
      </c>
    </row>
    <row r="6" spans="1:10" x14ac:dyDescent="0.25">
      <c r="A6" s="1" t="s">
        <v>123</v>
      </c>
      <c r="B6">
        <v>68.3</v>
      </c>
      <c r="C6">
        <v>68.2</v>
      </c>
      <c r="D6">
        <v>67.7</v>
      </c>
      <c r="E6">
        <v>60.9</v>
      </c>
      <c r="F6">
        <v>56.9</v>
      </c>
      <c r="G6">
        <v>55.1</v>
      </c>
      <c r="H6">
        <v>45.1</v>
      </c>
      <c r="I6">
        <v>46.9</v>
      </c>
      <c r="J6" s="32">
        <v>48.5</v>
      </c>
    </row>
    <row r="7" spans="1:10" x14ac:dyDescent="0.25">
      <c r="A7" s="1" t="s">
        <v>124</v>
      </c>
      <c r="B7">
        <v>3.4</v>
      </c>
      <c r="C7">
        <v>3.8</v>
      </c>
      <c r="D7">
        <v>3.8</v>
      </c>
      <c r="E7">
        <v>3.6</v>
      </c>
      <c r="F7">
        <v>3.4</v>
      </c>
      <c r="G7">
        <v>3.2</v>
      </c>
      <c r="H7">
        <v>2</v>
      </c>
      <c r="I7">
        <v>2.2000000000000002</v>
      </c>
      <c r="J7" s="32">
        <v>2.5</v>
      </c>
    </row>
    <row r="8" spans="1:10" x14ac:dyDescent="0.25">
      <c r="A8" s="1" t="s">
        <v>125</v>
      </c>
      <c r="B8">
        <v>1.8</v>
      </c>
      <c r="C8">
        <v>2</v>
      </c>
      <c r="D8">
        <v>2.1</v>
      </c>
      <c r="E8">
        <v>2</v>
      </c>
      <c r="F8">
        <v>1.9</v>
      </c>
      <c r="G8">
        <v>1.9</v>
      </c>
      <c r="H8">
        <v>1.1000000000000001</v>
      </c>
      <c r="I8">
        <v>1.3</v>
      </c>
      <c r="J8" s="32">
        <v>1.6</v>
      </c>
    </row>
    <row r="9" spans="1:10" x14ac:dyDescent="0.25">
      <c r="A9" s="1" t="s">
        <v>126</v>
      </c>
      <c r="B9">
        <v>0</v>
      </c>
      <c r="C9">
        <v>0.1</v>
      </c>
      <c r="D9">
        <v>0.1</v>
      </c>
      <c r="E9">
        <v>0.1</v>
      </c>
      <c r="F9">
        <v>0.1</v>
      </c>
      <c r="G9">
        <v>0.1</v>
      </c>
      <c r="H9">
        <v>0.1</v>
      </c>
      <c r="I9">
        <v>0.2</v>
      </c>
      <c r="J9" s="32">
        <v>0.6</v>
      </c>
    </row>
    <row r="10" spans="1:10" x14ac:dyDescent="0.25">
      <c r="A10" s="1" t="s">
        <v>132</v>
      </c>
      <c r="B10">
        <v>16.399999999999999</v>
      </c>
      <c r="C10">
        <v>18.100000000000001</v>
      </c>
      <c r="D10">
        <v>18.600000000000001</v>
      </c>
      <c r="E10">
        <v>19.600000000000001</v>
      </c>
      <c r="F10">
        <v>31.2</v>
      </c>
      <c r="G10">
        <v>75.900000000000006</v>
      </c>
      <c r="H10">
        <v>100.7</v>
      </c>
      <c r="I10">
        <v>142.80000000000001</v>
      </c>
      <c r="J10" s="32">
        <v>191.3</v>
      </c>
    </row>
    <row r="11" spans="1:10" x14ac:dyDescent="0.25">
      <c r="A11" s="1" t="s">
        <v>133</v>
      </c>
      <c r="B11">
        <v>1.4</v>
      </c>
      <c r="C11">
        <v>1.4</v>
      </c>
      <c r="D11">
        <v>1.4</v>
      </c>
      <c r="E11">
        <v>1.2</v>
      </c>
      <c r="F11">
        <v>1.1000000000000001</v>
      </c>
      <c r="G11">
        <v>1.1000000000000001</v>
      </c>
      <c r="H11">
        <v>0.9</v>
      </c>
      <c r="I11">
        <v>1</v>
      </c>
      <c r="J11" s="32">
        <v>1</v>
      </c>
    </row>
    <row r="12" spans="1:10" x14ac:dyDescent="0.25">
      <c r="A12" s="1" t="s">
        <v>158</v>
      </c>
      <c r="B12">
        <v>2.8</v>
      </c>
      <c r="C12">
        <v>5.4</v>
      </c>
      <c r="D12">
        <v>6</v>
      </c>
      <c r="E12">
        <v>2</v>
      </c>
      <c r="F12">
        <v>2.2999999999999998</v>
      </c>
      <c r="G12">
        <v>2.4</v>
      </c>
      <c r="H12">
        <v>2.6</v>
      </c>
      <c r="I12">
        <v>2.2999999999999998</v>
      </c>
      <c r="J12" s="32">
        <v>2.2000000000000002</v>
      </c>
    </row>
    <row r="13" spans="1:10" x14ac:dyDescent="0.25">
      <c r="A13" s="1" t="s">
        <v>134</v>
      </c>
      <c r="B13">
        <v>83</v>
      </c>
      <c r="C13">
        <v>60.6</v>
      </c>
      <c r="D13">
        <v>60.2</v>
      </c>
      <c r="E13">
        <v>58</v>
      </c>
      <c r="F13">
        <v>54</v>
      </c>
      <c r="G13">
        <v>54</v>
      </c>
      <c r="H13">
        <v>56.4</v>
      </c>
      <c r="I13">
        <v>55.2</v>
      </c>
      <c r="J13" s="32">
        <v>54.2</v>
      </c>
    </row>
    <row r="14" spans="1:10" x14ac:dyDescent="0.25">
      <c r="A14" s="124" t="s">
        <v>147</v>
      </c>
      <c r="B14" s="125">
        <v>262.5</v>
      </c>
      <c r="C14" s="125">
        <v>239.7</v>
      </c>
      <c r="D14" s="125">
        <v>241.1</v>
      </c>
      <c r="E14" s="125">
        <v>233.1</v>
      </c>
      <c r="F14" s="125">
        <v>234.3</v>
      </c>
      <c r="G14" s="125">
        <v>279.7</v>
      </c>
      <c r="H14" s="125">
        <v>278.7</v>
      </c>
      <c r="I14" s="125">
        <v>319.60000000000002</v>
      </c>
      <c r="J14" s="126">
        <v>369</v>
      </c>
    </row>
    <row r="16" spans="1:10" x14ac:dyDescent="0.25">
      <c r="A16" t="s">
        <v>73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144</v>
      </c>
    </row>
    <row r="21" spans="1:1" x14ac:dyDescent="0.25">
      <c r="A21" t="s">
        <v>159</v>
      </c>
    </row>
    <row r="23" spans="1:1" x14ac:dyDescent="0.25">
      <c r="A2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/>
  </sheetViews>
  <sheetFormatPr defaultColWidth="11.42578125" defaultRowHeight="15" x14ac:dyDescent="0.25"/>
  <cols>
    <col min="1" max="1" width="67.7109375" customWidth="1"/>
    <col min="2" max="10" width="7.7109375" customWidth="1"/>
  </cols>
  <sheetData>
    <row r="1" spans="1:10" x14ac:dyDescent="0.25">
      <c r="A1" t="s">
        <v>160</v>
      </c>
    </row>
    <row r="3" spans="1:10" x14ac:dyDescent="0.25">
      <c r="A3" s="4" t="s">
        <v>113</v>
      </c>
      <c r="B3" s="3" t="s">
        <v>5</v>
      </c>
      <c r="C3" s="3" t="s">
        <v>114</v>
      </c>
      <c r="D3" s="3" t="s">
        <v>115</v>
      </c>
      <c r="E3" s="3" t="s">
        <v>116</v>
      </c>
      <c r="F3" s="3" t="s">
        <v>117</v>
      </c>
      <c r="G3" s="3" t="s">
        <v>36</v>
      </c>
      <c r="H3" s="3" t="s">
        <v>118</v>
      </c>
      <c r="I3" s="3" t="s">
        <v>119</v>
      </c>
      <c r="J3" s="5" t="s">
        <v>120</v>
      </c>
    </row>
    <row r="4" spans="1:10" x14ac:dyDescent="0.25">
      <c r="A4" s="1" t="s">
        <v>121</v>
      </c>
      <c r="B4">
        <v>137.6</v>
      </c>
      <c r="C4">
        <v>142.69999999999999</v>
      </c>
      <c r="D4">
        <v>147.69999999999999</v>
      </c>
      <c r="E4">
        <v>150.1</v>
      </c>
      <c r="F4">
        <v>149.1</v>
      </c>
      <c r="G4">
        <v>152.30000000000001</v>
      </c>
      <c r="H4">
        <v>149.4</v>
      </c>
      <c r="I4">
        <v>140</v>
      </c>
      <c r="J4" s="32">
        <v>133.69999999999999</v>
      </c>
    </row>
    <row r="5" spans="1:10" x14ac:dyDescent="0.25">
      <c r="A5" s="1" t="s">
        <v>122</v>
      </c>
      <c r="B5">
        <v>12</v>
      </c>
      <c r="C5">
        <v>12.4</v>
      </c>
      <c r="D5">
        <v>12.9</v>
      </c>
      <c r="E5">
        <v>12.8</v>
      </c>
      <c r="F5">
        <v>12.9</v>
      </c>
      <c r="G5">
        <v>13.6</v>
      </c>
      <c r="H5">
        <v>11.8</v>
      </c>
      <c r="I5">
        <v>13.4</v>
      </c>
      <c r="J5" s="32">
        <v>14.2</v>
      </c>
    </row>
    <row r="6" spans="1:10" x14ac:dyDescent="0.25">
      <c r="A6" s="1" t="s">
        <v>123</v>
      </c>
      <c r="B6">
        <v>9.8000000000000007</v>
      </c>
      <c r="C6">
        <v>9.9</v>
      </c>
      <c r="D6">
        <v>9.8000000000000007</v>
      </c>
      <c r="E6">
        <v>9.6999999999999993</v>
      </c>
      <c r="F6">
        <v>9.8000000000000007</v>
      </c>
      <c r="G6">
        <v>9.8000000000000007</v>
      </c>
      <c r="H6">
        <v>8.6</v>
      </c>
      <c r="I6">
        <v>9.8000000000000007</v>
      </c>
      <c r="J6" s="32">
        <v>10.5</v>
      </c>
    </row>
    <row r="7" spans="1:10" x14ac:dyDescent="0.25">
      <c r="A7" s="1" t="s">
        <v>124</v>
      </c>
      <c r="B7">
        <v>1</v>
      </c>
      <c r="C7">
        <v>1.2</v>
      </c>
      <c r="D7">
        <v>1.3</v>
      </c>
      <c r="E7">
        <v>1.2</v>
      </c>
      <c r="F7">
        <v>1.3</v>
      </c>
      <c r="G7">
        <v>1.3</v>
      </c>
      <c r="H7">
        <v>1</v>
      </c>
      <c r="I7">
        <v>0.9</v>
      </c>
      <c r="J7" s="32">
        <v>1</v>
      </c>
    </row>
    <row r="8" spans="1:10" x14ac:dyDescent="0.25">
      <c r="A8" s="1" t="s">
        <v>126</v>
      </c>
      <c r="B8">
        <v>38.5</v>
      </c>
      <c r="C8">
        <v>39.9</v>
      </c>
      <c r="D8">
        <v>40.5</v>
      </c>
      <c r="E8">
        <v>40</v>
      </c>
      <c r="F8">
        <v>39.700000000000003</v>
      </c>
      <c r="G8">
        <v>38.799999999999997</v>
      </c>
      <c r="H8">
        <v>32.299999999999997</v>
      </c>
      <c r="I8">
        <v>32.299999999999997</v>
      </c>
      <c r="J8" s="32">
        <v>32.1</v>
      </c>
    </row>
    <row r="9" spans="1:10" x14ac:dyDescent="0.25">
      <c r="A9" s="1" t="s">
        <v>127</v>
      </c>
      <c r="B9">
        <v>3.4</v>
      </c>
      <c r="C9">
        <v>3.5</v>
      </c>
      <c r="D9">
        <v>3.5</v>
      </c>
      <c r="E9">
        <v>3.5</v>
      </c>
      <c r="F9">
        <v>3.4</v>
      </c>
      <c r="G9">
        <v>3.2</v>
      </c>
      <c r="H9">
        <v>2.2000000000000002</v>
      </c>
      <c r="I9">
        <v>2.2999999999999998</v>
      </c>
      <c r="J9" s="32">
        <v>2.2999999999999998</v>
      </c>
    </row>
    <row r="10" spans="1:10" x14ac:dyDescent="0.25">
      <c r="A10" s="1" t="s">
        <v>128</v>
      </c>
      <c r="B10">
        <v>0.4</v>
      </c>
      <c r="C10">
        <v>0.5</v>
      </c>
      <c r="D10">
        <v>0.5</v>
      </c>
      <c r="E10">
        <v>0.6</v>
      </c>
      <c r="F10">
        <v>0.6</v>
      </c>
      <c r="G10">
        <v>0.6</v>
      </c>
      <c r="H10">
        <v>0.5</v>
      </c>
      <c r="I10">
        <v>0.6</v>
      </c>
      <c r="J10" s="32">
        <v>0.6</v>
      </c>
    </row>
    <row r="11" spans="1:10" x14ac:dyDescent="0.25">
      <c r="A11" s="1" t="s">
        <v>129</v>
      </c>
      <c r="B11">
        <v>32.6</v>
      </c>
      <c r="C11">
        <v>33.6</v>
      </c>
      <c r="D11">
        <v>33.700000000000003</v>
      </c>
      <c r="E11">
        <v>32.9</v>
      </c>
      <c r="F11">
        <v>32.1</v>
      </c>
      <c r="G11">
        <v>31.3</v>
      </c>
      <c r="H11">
        <v>26.1</v>
      </c>
      <c r="I11">
        <v>26.2</v>
      </c>
      <c r="J11" s="32">
        <v>26.1</v>
      </c>
    </row>
    <row r="12" spans="1:10" x14ac:dyDescent="0.25">
      <c r="A12" s="1" t="s">
        <v>130</v>
      </c>
      <c r="B12">
        <v>2.9</v>
      </c>
      <c r="C12">
        <v>3.3</v>
      </c>
      <c r="D12">
        <v>3.5</v>
      </c>
      <c r="E12">
        <v>3.7</v>
      </c>
      <c r="F12">
        <v>4.3</v>
      </c>
      <c r="G12">
        <v>4.3</v>
      </c>
      <c r="H12">
        <v>3.8</v>
      </c>
      <c r="I12">
        <v>3.9</v>
      </c>
      <c r="J12" s="32">
        <v>3.9</v>
      </c>
    </row>
    <row r="13" spans="1:10" x14ac:dyDescent="0.25">
      <c r="A13" s="1" t="s">
        <v>131</v>
      </c>
      <c r="B13">
        <v>0.7</v>
      </c>
      <c r="C13">
        <v>0.8</v>
      </c>
      <c r="D13">
        <v>0.8</v>
      </c>
      <c r="E13">
        <v>0.8</v>
      </c>
      <c r="F13">
        <v>0.9</v>
      </c>
      <c r="G13">
        <v>0.8</v>
      </c>
      <c r="H13">
        <v>0.7</v>
      </c>
      <c r="I13">
        <v>0.6</v>
      </c>
      <c r="J13" s="32">
        <v>0.3</v>
      </c>
    </row>
    <row r="14" spans="1:10" x14ac:dyDescent="0.25">
      <c r="A14" s="1" t="s">
        <v>132</v>
      </c>
      <c r="B14">
        <v>0.5</v>
      </c>
      <c r="C14">
        <v>0.6</v>
      </c>
      <c r="D14">
        <v>0.6</v>
      </c>
      <c r="E14">
        <v>0.6</v>
      </c>
      <c r="F14">
        <v>1</v>
      </c>
      <c r="G14">
        <v>1.8</v>
      </c>
      <c r="H14">
        <v>2.2999999999999998</v>
      </c>
      <c r="I14">
        <v>3.4</v>
      </c>
      <c r="J14" s="32">
        <v>4.5999999999999996</v>
      </c>
    </row>
    <row r="15" spans="1:10" x14ac:dyDescent="0.25">
      <c r="A15" s="1" t="s">
        <v>133</v>
      </c>
      <c r="B15">
        <v>2.5</v>
      </c>
      <c r="C15">
        <v>2.7</v>
      </c>
      <c r="D15">
        <v>2.8</v>
      </c>
      <c r="E15">
        <v>2.9</v>
      </c>
      <c r="F15">
        <v>2.8</v>
      </c>
      <c r="G15">
        <v>2.9</v>
      </c>
      <c r="H15">
        <v>2.6</v>
      </c>
      <c r="I15">
        <v>2.5</v>
      </c>
      <c r="J15" s="32">
        <v>2.5</v>
      </c>
    </row>
    <row r="16" spans="1:10" x14ac:dyDescent="0.25">
      <c r="A16" s="1" t="s">
        <v>134</v>
      </c>
      <c r="B16">
        <v>7.9</v>
      </c>
      <c r="C16">
        <v>7.8</v>
      </c>
      <c r="D16">
        <v>7.6</v>
      </c>
      <c r="E16">
        <v>8.1999999999999993</v>
      </c>
      <c r="F16">
        <v>8.1</v>
      </c>
      <c r="G16">
        <v>8.1</v>
      </c>
      <c r="H16">
        <v>7.9</v>
      </c>
      <c r="I16">
        <v>7.7</v>
      </c>
      <c r="J16" s="32">
        <v>6.8</v>
      </c>
    </row>
    <row r="17" spans="1:10" x14ac:dyDescent="0.25">
      <c r="A17" s="124" t="s">
        <v>135</v>
      </c>
      <c r="B17" s="125">
        <v>178.5</v>
      </c>
      <c r="C17" s="125">
        <v>185.4</v>
      </c>
      <c r="D17" s="125">
        <v>190.1</v>
      </c>
      <c r="E17" s="125">
        <v>192.4</v>
      </c>
      <c r="F17" s="125">
        <v>191.9</v>
      </c>
      <c r="G17" s="125">
        <v>194.9</v>
      </c>
      <c r="H17" s="125">
        <v>187.8</v>
      </c>
      <c r="I17" s="125">
        <v>179</v>
      </c>
      <c r="J17" s="126">
        <v>172.9</v>
      </c>
    </row>
    <row r="19" spans="1:10" x14ac:dyDescent="0.25">
      <c r="A19" t="s">
        <v>73</v>
      </c>
    </row>
    <row r="21" spans="1:10" x14ac:dyDescent="0.25">
      <c r="A21" t="s">
        <v>137</v>
      </c>
    </row>
    <row r="22" spans="1:10" x14ac:dyDescent="0.25">
      <c r="A22" t="s">
        <v>139</v>
      </c>
    </row>
    <row r="23" spans="1:10" x14ac:dyDescent="0.25">
      <c r="A23" t="s">
        <v>140</v>
      </c>
    </row>
    <row r="24" spans="1:10" x14ac:dyDescent="0.25">
      <c r="A24" t="s">
        <v>141</v>
      </c>
    </row>
    <row r="25" spans="1:10" x14ac:dyDescent="0.25">
      <c r="A25" t="s">
        <v>142</v>
      </c>
    </row>
    <row r="26" spans="1:10" x14ac:dyDescent="0.25">
      <c r="A26" t="s">
        <v>143</v>
      </c>
    </row>
    <row r="27" spans="1:10" x14ac:dyDescent="0.25">
      <c r="A27" t="s">
        <v>145</v>
      </c>
    </row>
    <row r="29" spans="1:10" x14ac:dyDescent="0.25">
      <c r="A2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/>
  </sheetViews>
  <sheetFormatPr defaultColWidth="11.42578125" defaultRowHeight="15" x14ac:dyDescent="0.25"/>
  <cols>
    <col min="1" max="1" width="67.7109375" customWidth="1"/>
    <col min="2" max="10" width="7.7109375" customWidth="1"/>
  </cols>
  <sheetData>
    <row r="1" spans="1:10" x14ac:dyDescent="0.25">
      <c r="A1" t="s">
        <v>161</v>
      </c>
    </row>
    <row r="3" spans="1:10" x14ac:dyDescent="0.25">
      <c r="A3" s="4" t="s">
        <v>113</v>
      </c>
      <c r="B3" s="3" t="s">
        <v>5</v>
      </c>
      <c r="C3" s="3" t="s">
        <v>114</v>
      </c>
      <c r="D3" s="3" t="s">
        <v>115</v>
      </c>
      <c r="E3" s="3" t="s">
        <v>116</v>
      </c>
      <c r="F3" s="3" t="s">
        <v>117</v>
      </c>
      <c r="G3" s="3" t="s">
        <v>36</v>
      </c>
      <c r="H3" s="3" t="s">
        <v>118</v>
      </c>
      <c r="I3" s="3" t="s">
        <v>119</v>
      </c>
      <c r="J3" s="5" t="s">
        <v>120</v>
      </c>
    </row>
    <row r="4" spans="1:10" x14ac:dyDescent="0.25">
      <c r="A4" s="1" t="s">
        <v>121</v>
      </c>
      <c r="B4">
        <v>393</v>
      </c>
      <c r="C4">
        <v>393.5</v>
      </c>
      <c r="D4">
        <v>402.9</v>
      </c>
      <c r="E4">
        <v>401.9</v>
      </c>
      <c r="F4">
        <v>391.1</v>
      </c>
      <c r="G4">
        <v>400.6</v>
      </c>
      <c r="H4">
        <v>308.7</v>
      </c>
      <c r="I4">
        <v>257.7</v>
      </c>
      <c r="J4" s="32">
        <v>243.3</v>
      </c>
    </row>
    <row r="5" spans="1:10" x14ac:dyDescent="0.25">
      <c r="A5" s="1" t="s">
        <v>122</v>
      </c>
      <c r="B5">
        <v>25.1</v>
      </c>
      <c r="C5">
        <v>25.5</v>
      </c>
      <c r="D5">
        <v>26.2</v>
      </c>
      <c r="E5">
        <v>25.4</v>
      </c>
      <c r="F5">
        <v>24.7</v>
      </c>
      <c r="G5">
        <v>25.8</v>
      </c>
      <c r="H5">
        <v>22.7</v>
      </c>
      <c r="I5">
        <v>26.5</v>
      </c>
      <c r="J5" s="32">
        <v>28.6</v>
      </c>
    </row>
    <row r="6" spans="1:10" x14ac:dyDescent="0.25">
      <c r="A6" s="1" t="s">
        <v>123</v>
      </c>
      <c r="B6">
        <v>19.600000000000001</v>
      </c>
      <c r="C6">
        <v>19.399999999999999</v>
      </c>
      <c r="D6">
        <v>18.899999999999999</v>
      </c>
      <c r="E6">
        <v>18.100000000000001</v>
      </c>
      <c r="F6">
        <v>17.7</v>
      </c>
      <c r="G6">
        <v>17.5</v>
      </c>
      <c r="H6">
        <v>15.6</v>
      </c>
      <c r="I6">
        <v>17.7</v>
      </c>
      <c r="J6" s="32">
        <v>18.7</v>
      </c>
    </row>
    <row r="7" spans="1:10" x14ac:dyDescent="0.25">
      <c r="A7" s="1" t="s">
        <v>124</v>
      </c>
      <c r="B7">
        <v>1</v>
      </c>
      <c r="C7">
        <v>1.2</v>
      </c>
      <c r="D7">
        <v>1.3</v>
      </c>
      <c r="E7">
        <v>1.2</v>
      </c>
      <c r="F7">
        <v>1.3</v>
      </c>
      <c r="G7">
        <v>1.4</v>
      </c>
      <c r="H7">
        <v>1.1000000000000001</v>
      </c>
      <c r="I7">
        <v>1</v>
      </c>
      <c r="J7" s="32">
        <v>1</v>
      </c>
    </row>
    <row r="8" spans="1:10" x14ac:dyDescent="0.25">
      <c r="A8" s="1" t="s">
        <v>126</v>
      </c>
      <c r="B8">
        <v>132.1</v>
      </c>
      <c r="C8">
        <v>135.4</v>
      </c>
      <c r="D8">
        <v>139.9</v>
      </c>
      <c r="E8">
        <v>136.69999999999999</v>
      </c>
      <c r="F8">
        <v>133.69999999999999</v>
      </c>
      <c r="G8">
        <v>134.5</v>
      </c>
      <c r="H8">
        <v>118.9</v>
      </c>
      <c r="I8">
        <v>124.9</v>
      </c>
      <c r="J8" s="32">
        <v>129.30000000000001</v>
      </c>
    </row>
    <row r="9" spans="1:10" x14ac:dyDescent="0.25">
      <c r="A9" s="1" t="s">
        <v>127</v>
      </c>
      <c r="B9">
        <v>3.8</v>
      </c>
      <c r="C9">
        <v>3.9</v>
      </c>
      <c r="D9">
        <v>4.0999999999999996</v>
      </c>
      <c r="E9">
        <v>4</v>
      </c>
      <c r="F9">
        <v>3.8</v>
      </c>
      <c r="G9">
        <v>3.6</v>
      </c>
      <c r="H9">
        <v>2.5</v>
      </c>
      <c r="I9">
        <v>2.6</v>
      </c>
      <c r="J9" s="32">
        <v>2.5</v>
      </c>
    </row>
    <row r="10" spans="1:10" x14ac:dyDescent="0.25">
      <c r="A10" s="1" t="s">
        <v>128</v>
      </c>
      <c r="B10">
        <v>6.4</v>
      </c>
      <c r="C10">
        <v>6.6</v>
      </c>
      <c r="D10">
        <v>9.8000000000000007</v>
      </c>
      <c r="E10">
        <v>10.6</v>
      </c>
      <c r="F10">
        <v>10.199999999999999</v>
      </c>
      <c r="G10">
        <v>10.9</v>
      </c>
      <c r="H10">
        <v>9.8000000000000007</v>
      </c>
      <c r="I10">
        <v>13.7</v>
      </c>
      <c r="J10" s="32">
        <v>18.899999999999999</v>
      </c>
    </row>
    <row r="11" spans="1:10" x14ac:dyDescent="0.25">
      <c r="A11" s="1" t="s">
        <v>129</v>
      </c>
      <c r="B11">
        <v>102</v>
      </c>
      <c r="C11">
        <v>102.4</v>
      </c>
      <c r="D11">
        <v>102.2</v>
      </c>
      <c r="E11">
        <v>95.4</v>
      </c>
      <c r="F11">
        <v>89.5</v>
      </c>
      <c r="G11">
        <v>89.2</v>
      </c>
      <c r="H11">
        <v>78.3</v>
      </c>
      <c r="I11">
        <v>80.2</v>
      </c>
      <c r="J11" s="32">
        <v>79.5</v>
      </c>
    </row>
    <row r="12" spans="1:10" x14ac:dyDescent="0.25">
      <c r="A12" s="1" t="s">
        <v>130</v>
      </c>
      <c r="B12">
        <v>18.3</v>
      </c>
      <c r="C12">
        <v>20.8</v>
      </c>
      <c r="D12">
        <v>22</v>
      </c>
      <c r="E12">
        <v>25</v>
      </c>
      <c r="F12">
        <v>28.4</v>
      </c>
      <c r="G12">
        <v>29.2</v>
      </c>
      <c r="H12">
        <v>26.9</v>
      </c>
      <c r="I12">
        <v>27.2</v>
      </c>
      <c r="J12" s="32">
        <v>27.4</v>
      </c>
    </row>
    <row r="13" spans="1:10" x14ac:dyDescent="0.25">
      <c r="A13" s="1" t="s">
        <v>131</v>
      </c>
      <c r="B13">
        <v>0.8</v>
      </c>
      <c r="C13">
        <v>0.9</v>
      </c>
      <c r="D13">
        <v>1</v>
      </c>
      <c r="E13">
        <v>0.9</v>
      </c>
      <c r="F13">
        <v>1</v>
      </c>
      <c r="G13">
        <v>0.9</v>
      </c>
      <c r="H13">
        <v>0.8</v>
      </c>
      <c r="I13">
        <v>0.6</v>
      </c>
      <c r="J13" s="32">
        <v>0.4</v>
      </c>
    </row>
    <row r="14" spans="1:10" x14ac:dyDescent="0.25">
      <c r="A14" s="1" t="s">
        <v>132</v>
      </c>
      <c r="B14">
        <v>13</v>
      </c>
      <c r="C14">
        <v>12.6</v>
      </c>
      <c r="D14">
        <v>15.5</v>
      </c>
      <c r="E14">
        <v>12.5</v>
      </c>
      <c r="F14">
        <v>25.2</v>
      </c>
      <c r="G14">
        <v>67.099999999999994</v>
      </c>
      <c r="H14">
        <v>108.2</v>
      </c>
      <c r="I14">
        <v>201.7</v>
      </c>
      <c r="J14" s="32">
        <v>290.7</v>
      </c>
    </row>
    <row r="15" spans="1:10" x14ac:dyDescent="0.25">
      <c r="A15" s="1" t="s">
        <v>133</v>
      </c>
      <c r="B15">
        <v>2.8</v>
      </c>
      <c r="C15">
        <v>2.9</v>
      </c>
      <c r="D15">
        <v>3.1</v>
      </c>
      <c r="E15">
        <v>3.2</v>
      </c>
      <c r="F15">
        <v>3.1</v>
      </c>
      <c r="G15">
        <v>3.2</v>
      </c>
      <c r="H15">
        <v>2.8</v>
      </c>
      <c r="I15">
        <v>2.7</v>
      </c>
      <c r="J15" s="32">
        <v>2.7</v>
      </c>
    </row>
    <row r="16" spans="1:10" x14ac:dyDescent="0.25">
      <c r="A16" s="1" t="s">
        <v>134</v>
      </c>
      <c r="B16">
        <v>206.7</v>
      </c>
      <c r="C16">
        <v>178.1</v>
      </c>
      <c r="D16">
        <v>175.8</v>
      </c>
      <c r="E16">
        <v>186.4</v>
      </c>
      <c r="F16">
        <v>180.1</v>
      </c>
      <c r="G16">
        <v>167</v>
      </c>
      <c r="H16">
        <v>168.3</v>
      </c>
      <c r="I16">
        <v>167.9</v>
      </c>
      <c r="J16" s="32">
        <v>184.2</v>
      </c>
    </row>
    <row r="17" spans="1:10" x14ac:dyDescent="0.25">
      <c r="A17" s="124" t="s">
        <v>147</v>
      </c>
      <c r="B17" s="125">
        <v>776.1</v>
      </c>
      <c r="C17" s="125">
        <v>752.3</v>
      </c>
      <c r="D17" s="125">
        <v>768.3</v>
      </c>
      <c r="E17" s="125">
        <v>769</v>
      </c>
      <c r="F17" s="125">
        <v>762</v>
      </c>
      <c r="G17" s="125">
        <v>802.3</v>
      </c>
      <c r="H17" s="125">
        <v>733</v>
      </c>
      <c r="I17" s="125">
        <v>784.2</v>
      </c>
      <c r="J17" s="126">
        <v>881.5</v>
      </c>
    </row>
    <row r="19" spans="1:10" x14ac:dyDescent="0.25">
      <c r="A19" t="s">
        <v>73</v>
      </c>
    </row>
    <row r="21" spans="1:10" x14ac:dyDescent="0.25">
      <c r="A21" t="s">
        <v>137</v>
      </c>
    </row>
    <row r="22" spans="1:10" x14ac:dyDescent="0.25">
      <c r="A22" t="s">
        <v>139</v>
      </c>
    </row>
    <row r="23" spans="1:10" x14ac:dyDescent="0.25">
      <c r="A23" t="s">
        <v>140</v>
      </c>
    </row>
    <row r="24" spans="1:10" x14ac:dyDescent="0.25">
      <c r="A24" t="s">
        <v>141</v>
      </c>
    </row>
    <row r="25" spans="1:10" x14ac:dyDescent="0.25">
      <c r="A25" t="s">
        <v>142</v>
      </c>
    </row>
    <row r="26" spans="1:10" x14ac:dyDescent="0.25">
      <c r="A26" t="s">
        <v>143</v>
      </c>
    </row>
    <row r="27" spans="1:10" x14ac:dyDescent="0.25">
      <c r="A27" t="s">
        <v>144</v>
      </c>
    </row>
    <row r="28" spans="1:10" x14ac:dyDescent="0.25">
      <c r="A28" t="s">
        <v>159</v>
      </c>
    </row>
    <row r="30" spans="1:10" x14ac:dyDescent="0.25">
      <c r="A30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  <col min="3" max="3" width="17.7109375" customWidth="1"/>
    <col min="4" max="4" width="23.7109375" customWidth="1"/>
    <col min="5" max="5" width="15.7109375" customWidth="1"/>
    <col min="6" max="6" width="18.7109375" customWidth="1"/>
  </cols>
  <sheetData>
    <row r="1" spans="1:6" x14ac:dyDescent="0.25">
      <c r="A1" t="s">
        <v>162</v>
      </c>
    </row>
    <row r="3" spans="1:6" x14ac:dyDescent="0.25">
      <c r="A3" s="4" t="s">
        <v>2</v>
      </c>
      <c r="B3" s="3" t="s">
        <v>163</v>
      </c>
      <c r="C3" s="3" t="s">
        <v>164</v>
      </c>
      <c r="D3" s="3" t="s">
        <v>165</v>
      </c>
      <c r="E3" s="3" t="s">
        <v>166</v>
      </c>
      <c r="F3" s="5" t="s">
        <v>167</v>
      </c>
    </row>
    <row r="4" spans="1:6" x14ac:dyDescent="0.25">
      <c r="A4" s="1">
        <v>2014</v>
      </c>
      <c r="B4" s="46">
        <v>102</v>
      </c>
      <c r="C4" s="120">
        <v>0.86399999999999999</v>
      </c>
      <c r="D4" s="120">
        <v>0.08</v>
      </c>
      <c r="E4" s="120">
        <v>3.0000000000000001E-3</v>
      </c>
      <c r="F4" s="121">
        <v>5.1999999999999998E-2</v>
      </c>
    </row>
    <row r="5" spans="1:6" x14ac:dyDescent="0.25">
      <c r="A5" s="1">
        <v>2015</v>
      </c>
      <c r="B5" s="46">
        <v>102.4</v>
      </c>
      <c r="C5" s="120">
        <v>0.85699999999999998</v>
      </c>
      <c r="D5" s="120">
        <v>8.5999999999999993E-2</v>
      </c>
      <c r="E5" s="120">
        <v>4.0000000000000001E-3</v>
      </c>
      <c r="F5" s="121">
        <v>5.2999999999999999E-2</v>
      </c>
    </row>
    <row r="6" spans="1:6" x14ac:dyDescent="0.25">
      <c r="A6" s="1">
        <v>2016</v>
      </c>
      <c r="B6" s="46">
        <v>102.2</v>
      </c>
      <c r="C6" s="120">
        <v>0.85399999999999998</v>
      </c>
      <c r="D6" s="120">
        <v>8.8999999999999996E-2</v>
      </c>
      <c r="E6" s="120">
        <v>3.0000000000000001E-3</v>
      </c>
      <c r="F6" s="121">
        <v>5.3999999999999999E-2</v>
      </c>
    </row>
    <row r="7" spans="1:6" x14ac:dyDescent="0.25">
      <c r="A7" s="1">
        <v>2017</v>
      </c>
      <c r="B7" s="46">
        <v>95.4</v>
      </c>
      <c r="C7" s="120">
        <v>0.84299999999999997</v>
      </c>
      <c r="D7" s="120">
        <v>9.5000000000000001E-2</v>
      </c>
      <c r="E7" s="120">
        <v>4.0000000000000001E-3</v>
      </c>
      <c r="F7" s="121">
        <v>5.8000000000000003E-2</v>
      </c>
    </row>
    <row r="8" spans="1:6" x14ac:dyDescent="0.25">
      <c r="A8" s="1">
        <v>2018</v>
      </c>
      <c r="B8" s="46">
        <v>89.5</v>
      </c>
      <c r="C8" s="120">
        <v>0.83299999999999996</v>
      </c>
      <c r="D8" s="120">
        <v>9.9000000000000005E-2</v>
      </c>
      <c r="E8" s="120">
        <v>7.0000000000000001E-3</v>
      </c>
      <c r="F8" s="121">
        <v>6.0999999999999999E-2</v>
      </c>
    </row>
    <row r="9" spans="1:6" x14ac:dyDescent="0.25">
      <c r="A9" s="1">
        <v>2019</v>
      </c>
      <c r="B9" s="46">
        <v>89.2</v>
      </c>
      <c r="C9" s="120">
        <v>0.82199999999999995</v>
      </c>
      <c r="D9" s="120">
        <v>0.106</v>
      </c>
      <c r="E9" s="120">
        <v>7.0000000000000001E-3</v>
      </c>
      <c r="F9" s="121">
        <v>6.4000000000000001E-2</v>
      </c>
    </row>
    <row r="10" spans="1:6" x14ac:dyDescent="0.25">
      <c r="A10" s="1">
        <v>2020</v>
      </c>
      <c r="B10" s="46">
        <v>78.3</v>
      </c>
      <c r="C10" s="120">
        <v>0.87</v>
      </c>
      <c r="D10" s="120">
        <v>8.2000000000000003E-2</v>
      </c>
      <c r="E10" s="120">
        <v>5.0000000000000001E-3</v>
      </c>
      <c r="F10" s="121">
        <v>4.2999999999999997E-2</v>
      </c>
    </row>
    <row r="11" spans="1:6" x14ac:dyDescent="0.25">
      <c r="A11" s="1">
        <v>2021</v>
      </c>
      <c r="B11" s="46">
        <v>80.2</v>
      </c>
      <c r="C11" s="120">
        <v>0.86399999999999999</v>
      </c>
      <c r="D11" s="120">
        <v>0.09</v>
      </c>
      <c r="E11" s="120">
        <v>8.0000000000000002E-3</v>
      </c>
      <c r="F11" s="121">
        <v>3.7999999999999999E-2</v>
      </c>
    </row>
    <row r="12" spans="1:6" x14ac:dyDescent="0.25">
      <c r="A12" s="6">
        <v>2022</v>
      </c>
      <c r="B12" s="47">
        <v>79.5</v>
      </c>
      <c r="C12" s="122">
        <v>0.85299999999999998</v>
      </c>
      <c r="D12" s="122">
        <v>9.9000000000000005E-2</v>
      </c>
      <c r="E12" s="122">
        <v>8.0000000000000002E-3</v>
      </c>
      <c r="F12" s="123">
        <v>0.04</v>
      </c>
    </row>
    <row r="14" spans="1:6" x14ac:dyDescent="0.25">
      <c r="A14" t="s">
        <v>73</v>
      </c>
    </row>
    <row r="16" spans="1:6" x14ac:dyDescent="0.25">
      <c r="A16" t="s">
        <v>141</v>
      </c>
    </row>
    <row r="18" spans="1:1" x14ac:dyDescent="0.25">
      <c r="A18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ColWidth="11.42578125" defaultRowHeight="15" x14ac:dyDescent="0.25"/>
  <cols>
    <col min="1" max="1" width="6.7109375" customWidth="1"/>
    <col min="2" max="2" width="34.7109375" customWidth="1"/>
    <col min="3" max="3" width="15.7109375" customWidth="1"/>
    <col min="4" max="4" width="11.7109375" customWidth="1"/>
    <col min="5" max="5" width="15.7109375" customWidth="1"/>
  </cols>
  <sheetData>
    <row r="1" spans="1:5" x14ac:dyDescent="0.25">
      <c r="A1" t="s">
        <v>168</v>
      </c>
    </row>
    <row r="3" spans="1:5" x14ac:dyDescent="0.25">
      <c r="A3" s="4" t="s">
        <v>2</v>
      </c>
      <c r="B3" s="3" t="s">
        <v>169</v>
      </c>
      <c r="C3" s="3" t="s">
        <v>170</v>
      </c>
      <c r="D3" s="3" t="s">
        <v>171</v>
      </c>
      <c r="E3" s="5" t="s">
        <v>172</v>
      </c>
    </row>
    <row r="4" spans="1:5" x14ac:dyDescent="0.25">
      <c r="A4" s="1">
        <v>2014</v>
      </c>
      <c r="B4" s="48">
        <v>88.2</v>
      </c>
      <c r="C4" s="120">
        <v>0.128</v>
      </c>
      <c r="D4" s="120">
        <v>0.38600000000000001</v>
      </c>
      <c r="E4" s="121">
        <v>0.48599999999999999</v>
      </c>
    </row>
    <row r="5" spans="1:5" x14ac:dyDescent="0.25">
      <c r="A5" s="1">
        <v>2015</v>
      </c>
      <c r="B5" s="48">
        <v>87.8</v>
      </c>
      <c r="C5" s="120">
        <v>0.13900000000000001</v>
      </c>
      <c r="D5" s="120">
        <v>0.36199999999999999</v>
      </c>
      <c r="E5" s="121">
        <v>0.499</v>
      </c>
    </row>
    <row r="6" spans="1:5" x14ac:dyDescent="0.25">
      <c r="A6" s="1">
        <v>2016</v>
      </c>
      <c r="B6" s="48">
        <v>87.3</v>
      </c>
      <c r="C6" s="120">
        <v>0.13700000000000001</v>
      </c>
      <c r="D6" s="120">
        <v>0.34899999999999998</v>
      </c>
      <c r="E6" s="121">
        <v>0.51400000000000001</v>
      </c>
    </row>
    <row r="7" spans="1:5" x14ac:dyDescent="0.25">
      <c r="A7" s="1">
        <v>2017</v>
      </c>
      <c r="B7" s="48">
        <v>80.400000000000006</v>
      </c>
      <c r="C7" s="120">
        <v>0.14299999999999999</v>
      </c>
      <c r="D7" s="120">
        <v>0.32800000000000001</v>
      </c>
      <c r="E7" s="121">
        <v>0.52900000000000003</v>
      </c>
    </row>
    <row r="8" spans="1:5" x14ac:dyDescent="0.25">
      <c r="A8" s="1">
        <v>2018</v>
      </c>
      <c r="B8" s="48">
        <v>74.599999999999994</v>
      </c>
      <c r="C8" s="120">
        <v>0.152</v>
      </c>
      <c r="D8" s="120">
        <v>0.31</v>
      </c>
      <c r="E8" s="121">
        <v>0.53800000000000003</v>
      </c>
    </row>
    <row r="9" spans="1:5" x14ac:dyDescent="0.25">
      <c r="A9" s="1">
        <v>2019</v>
      </c>
      <c r="B9" s="48">
        <v>73.3</v>
      </c>
      <c r="C9" s="120">
        <v>0.16400000000000001</v>
      </c>
      <c r="D9" s="120">
        <v>0.28199999999999997</v>
      </c>
      <c r="E9" s="121">
        <v>0.55400000000000005</v>
      </c>
    </row>
    <row r="10" spans="1:5" x14ac:dyDescent="0.25">
      <c r="A10" s="1">
        <v>2020</v>
      </c>
      <c r="B10" s="48">
        <v>68.099999999999994</v>
      </c>
      <c r="C10" s="120">
        <v>0.129</v>
      </c>
      <c r="D10" s="120">
        <v>0.29299999999999998</v>
      </c>
      <c r="E10" s="121">
        <v>0.57799999999999996</v>
      </c>
    </row>
    <row r="11" spans="1:5" x14ac:dyDescent="0.25">
      <c r="A11" s="1">
        <v>2021</v>
      </c>
      <c r="B11" s="48">
        <v>69.3</v>
      </c>
      <c r="C11" s="120">
        <v>0.157</v>
      </c>
      <c r="D11" s="120">
        <v>0.25900000000000001</v>
      </c>
      <c r="E11" s="121">
        <v>0.58399999999999996</v>
      </c>
    </row>
    <row r="12" spans="1:5" x14ac:dyDescent="0.25">
      <c r="A12" s="6">
        <v>2022</v>
      </c>
      <c r="B12" s="49">
        <v>67.8</v>
      </c>
      <c r="C12" s="122">
        <v>0.156</v>
      </c>
      <c r="D12" s="122">
        <v>0.246</v>
      </c>
      <c r="E12" s="123">
        <v>0.59799999999999998</v>
      </c>
    </row>
    <row r="14" spans="1:5" x14ac:dyDescent="0.25">
      <c r="A14" t="s">
        <v>73</v>
      </c>
    </row>
    <row r="16" spans="1:5" x14ac:dyDescent="0.25">
      <c r="A16" t="s">
        <v>141</v>
      </c>
    </row>
    <row r="18" spans="1:1" x14ac:dyDescent="0.25">
      <c r="A18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defaultColWidth="11.42578125" defaultRowHeight="15" x14ac:dyDescent="0.25"/>
  <cols>
    <col min="1" max="1" width="6.7109375" customWidth="1"/>
    <col min="2" max="2" width="26.7109375" customWidth="1"/>
  </cols>
  <sheetData>
    <row r="1" spans="1:2" x14ac:dyDescent="0.25">
      <c r="A1" t="s">
        <v>173</v>
      </c>
    </row>
    <row r="3" spans="1:2" x14ac:dyDescent="0.25">
      <c r="A3" s="4" t="s">
        <v>2</v>
      </c>
      <c r="B3" s="5" t="s">
        <v>174</v>
      </c>
    </row>
    <row r="4" spans="1:2" x14ac:dyDescent="0.25">
      <c r="A4" s="1" t="s">
        <v>5</v>
      </c>
      <c r="B4" s="50">
        <v>133.5</v>
      </c>
    </row>
    <row r="5" spans="1:2" x14ac:dyDescent="0.25">
      <c r="A5" s="1" t="s">
        <v>114</v>
      </c>
      <c r="B5" s="50">
        <v>138.80000000000001</v>
      </c>
    </row>
    <row r="6" spans="1:2" x14ac:dyDescent="0.25">
      <c r="A6" s="1" t="s">
        <v>115</v>
      </c>
      <c r="B6" s="50">
        <v>147.6</v>
      </c>
    </row>
    <row r="7" spans="1:2" x14ac:dyDescent="0.25">
      <c r="A7" s="1" t="s">
        <v>116</v>
      </c>
      <c r="B7" s="50">
        <v>142.5</v>
      </c>
    </row>
    <row r="8" spans="1:2" x14ac:dyDescent="0.25">
      <c r="A8" s="1" t="s">
        <v>117</v>
      </c>
      <c r="B8" s="50">
        <v>136.5</v>
      </c>
    </row>
    <row r="9" spans="1:2" x14ac:dyDescent="0.25">
      <c r="A9" s="1" t="s">
        <v>36</v>
      </c>
      <c r="B9" s="50">
        <v>132.30000000000001</v>
      </c>
    </row>
    <row r="10" spans="1:2" x14ac:dyDescent="0.25">
      <c r="A10" s="1" t="s">
        <v>118</v>
      </c>
      <c r="B10" s="50">
        <v>96</v>
      </c>
    </row>
    <row r="11" spans="1:2" x14ac:dyDescent="0.25">
      <c r="A11" s="1" t="s">
        <v>119</v>
      </c>
      <c r="B11" s="50">
        <v>91.4</v>
      </c>
    </row>
    <row r="12" spans="1:2" x14ac:dyDescent="0.25">
      <c r="A12" s="6" t="s">
        <v>120</v>
      </c>
      <c r="B12" s="51">
        <v>80.8</v>
      </c>
    </row>
    <row r="14" spans="1:2" x14ac:dyDescent="0.25">
      <c r="A14" t="s">
        <v>73</v>
      </c>
    </row>
    <row r="19" spans="1:1" x14ac:dyDescent="0.25">
      <c r="A19" t="s">
        <v>175</v>
      </c>
    </row>
    <row r="21" spans="1:1" x14ac:dyDescent="0.25">
      <c r="A2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defaultColWidth="11.42578125" defaultRowHeight="15" x14ac:dyDescent="0.25"/>
  <cols>
    <col min="1" max="1" width="6.7109375" customWidth="1"/>
    <col min="2" max="2" width="9.7109375" customWidth="1"/>
    <col min="3" max="3" width="6.7109375" customWidth="1"/>
    <col min="4" max="4" width="12.7109375" customWidth="1"/>
    <col min="5" max="5" width="13.7109375" customWidth="1"/>
    <col min="6" max="6" width="11.7109375" customWidth="1"/>
  </cols>
  <sheetData>
    <row r="1" spans="1:6" x14ac:dyDescent="0.25">
      <c r="A1" t="s">
        <v>176</v>
      </c>
    </row>
    <row r="3" spans="1:6" x14ac:dyDescent="0.25">
      <c r="A3" s="4" t="s">
        <v>2</v>
      </c>
      <c r="B3" s="3" t="s">
        <v>147</v>
      </c>
      <c r="C3" s="3" t="s">
        <v>177</v>
      </c>
      <c r="D3" s="3" t="s">
        <v>178</v>
      </c>
      <c r="E3" s="3" t="s">
        <v>179</v>
      </c>
      <c r="F3" s="5" t="s">
        <v>180</v>
      </c>
    </row>
    <row r="4" spans="1:6" x14ac:dyDescent="0.25">
      <c r="A4" s="1">
        <v>2014</v>
      </c>
      <c r="B4">
        <v>87.7</v>
      </c>
      <c r="C4">
        <v>56.9</v>
      </c>
      <c r="D4">
        <v>14.3</v>
      </c>
      <c r="E4">
        <v>10.7</v>
      </c>
      <c r="F4" s="32">
        <v>5.8</v>
      </c>
    </row>
    <row r="5" spans="1:6" x14ac:dyDescent="0.25">
      <c r="A5" s="1">
        <v>2015</v>
      </c>
      <c r="B5">
        <v>89</v>
      </c>
      <c r="C5">
        <v>58.1</v>
      </c>
      <c r="D5">
        <v>14</v>
      </c>
      <c r="E5">
        <v>10.9</v>
      </c>
      <c r="F5" s="32">
        <v>5.9</v>
      </c>
    </row>
    <row r="6" spans="1:6" x14ac:dyDescent="0.25">
      <c r="A6" s="1">
        <v>2016</v>
      </c>
      <c r="B6">
        <v>91.3</v>
      </c>
      <c r="C6">
        <v>60.5</v>
      </c>
      <c r="D6">
        <v>13.9</v>
      </c>
      <c r="E6">
        <v>10.8</v>
      </c>
      <c r="F6" s="32">
        <v>6</v>
      </c>
    </row>
    <row r="7" spans="1:6" x14ac:dyDescent="0.25">
      <c r="A7" s="1">
        <v>2017</v>
      </c>
      <c r="B7">
        <v>91.7</v>
      </c>
      <c r="C7">
        <v>61.7</v>
      </c>
      <c r="D7">
        <v>13.3</v>
      </c>
      <c r="E7">
        <v>10.6</v>
      </c>
      <c r="F7" s="32">
        <v>6.1</v>
      </c>
    </row>
    <row r="8" spans="1:6" x14ac:dyDescent="0.25">
      <c r="A8" s="1">
        <v>2018</v>
      </c>
      <c r="B8">
        <v>87.7</v>
      </c>
      <c r="C8">
        <v>58.9</v>
      </c>
      <c r="D8">
        <v>12.6</v>
      </c>
      <c r="E8">
        <v>10.5</v>
      </c>
      <c r="F8" s="32">
        <v>5.7</v>
      </c>
    </row>
    <row r="9" spans="1:6" x14ac:dyDescent="0.25">
      <c r="A9" s="1">
        <v>2019</v>
      </c>
      <c r="B9">
        <v>88.7</v>
      </c>
      <c r="C9">
        <v>59.9</v>
      </c>
      <c r="D9">
        <v>12.3</v>
      </c>
      <c r="E9">
        <v>10.199999999999999</v>
      </c>
      <c r="F9" s="32">
        <v>6.3</v>
      </c>
    </row>
    <row r="10" spans="1:6" x14ac:dyDescent="0.25">
      <c r="A10" s="1">
        <v>2020</v>
      </c>
      <c r="B10">
        <v>79.7</v>
      </c>
      <c r="C10">
        <v>58.5</v>
      </c>
      <c r="D10">
        <v>8.6</v>
      </c>
      <c r="E10">
        <v>7.3</v>
      </c>
      <c r="F10" s="32">
        <v>5.0999999999999996</v>
      </c>
    </row>
    <row r="11" spans="1:6" x14ac:dyDescent="0.25">
      <c r="A11" s="1">
        <v>2021</v>
      </c>
      <c r="B11">
        <v>83.6</v>
      </c>
      <c r="C11">
        <v>58.5</v>
      </c>
      <c r="D11">
        <v>10.6</v>
      </c>
      <c r="E11">
        <v>8.6</v>
      </c>
      <c r="F11" s="32">
        <v>5.9</v>
      </c>
    </row>
    <row r="12" spans="1:6" x14ac:dyDescent="0.25">
      <c r="A12" s="6">
        <v>2022</v>
      </c>
      <c r="B12" s="8">
        <v>80.2</v>
      </c>
      <c r="C12" s="8">
        <v>54.9</v>
      </c>
      <c r="D12" s="8">
        <v>11.3</v>
      </c>
      <c r="E12" s="8">
        <v>8.4</v>
      </c>
      <c r="F12" s="33">
        <v>5.5</v>
      </c>
    </row>
    <row r="14" spans="1:6" x14ac:dyDescent="0.25">
      <c r="A14" t="s">
        <v>73</v>
      </c>
    </row>
    <row r="16" spans="1:6" x14ac:dyDescent="0.25">
      <c r="A16" t="s">
        <v>136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5" spans="1:1" x14ac:dyDescent="0.25">
      <c r="A25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workbookViewId="0"/>
  </sheetViews>
  <sheetFormatPr defaultColWidth="11.42578125" defaultRowHeight="15" x14ac:dyDescent="0.25"/>
  <cols>
    <col min="1" max="1" width="6.7109375" customWidth="1"/>
    <col min="2" max="2" width="13.7109375" customWidth="1"/>
    <col min="3" max="3" width="9.7109375" customWidth="1"/>
  </cols>
  <sheetData>
    <row r="1" spans="1:3" x14ac:dyDescent="0.25">
      <c r="A1" t="s">
        <v>188</v>
      </c>
    </row>
    <row r="3" spans="1:3" x14ac:dyDescent="0.25">
      <c r="A3" s="4" t="s">
        <v>2</v>
      </c>
      <c r="B3" s="3" t="s">
        <v>189</v>
      </c>
      <c r="C3" s="5" t="s">
        <v>3</v>
      </c>
    </row>
    <row r="4" spans="1:3" x14ac:dyDescent="0.25">
      <c r="A4" s="1" t="s">
        <v>5</v>
      </c>
      <c r="B4" t="s">
        <v>178</v>
      </c>
      <c r="C4" s="52">
        <v>0.16339999999999999</v>
      </c>
    </row>
    <row r="5" spans="1:3" x14ac:dyDescent="0.25">
      <c r="A5" s="1" t="s">
        <v>114</v>
      </c>
      <c r="B5" t="s">
        <v>178</v>
      </c>
      <c r="C5" s="52">
        <v>0.1575</v>
      </c>
    </row>
    <row r="6" spans="1:3" x14ac:dyDescent="0.25">
      <c r="A6" s="1" t="s">
        <v>115</v>
      </c>
      <c r="B6" t="s">
        <v>178</v>
      </c>
      <c r="C6" s="52">
        <v>0.1527</v>
      </c>
    </row>
    <row r="7" spans="1:3" x14ac:dyDescent="0.25">
      <c r="A7" s="1" t="s">
        <v>116</v>
      </c>
      <c r="B7" t="s">
        <v>178</v>
      </c>
      <c r="C7" s="52">
        <v>0.1449</v>
      </c>
    </row>
    <row r="8" spans="1:3" x14ac:dyDescent="0.25">
      <c r="A8" s="1" t="s">
        <v>117</v>
      </c>
      <c r="B8" t="s">
        <v>178</v>
      </c>
      <c r="C8" s="52">
        <v>0.14330000000000001</v>
      </c>
    </row>
    <row r="9" spans="1:3" x14ac:dyDescent="0.25">
      <c r="A9" s="1" t="s">
        <v>36</v>
      </c>
      <c r="B9" t="s">
        <v>178</v>
      </c>
      <c r="C9" s="52">
        <v>0.1391</v>
      </c>
    </row>
    <row r="10" spans="1:3" x14ac:dyDescent="0.25">
      <c r="A10" s="1" t="s">
        <v>118</v>
      </c>
      <c r="B10" t="s">
        <v>178</v>
      </c>
      <c r="C10" s="52">
        <v>0.10829999999999999</v>
      </c>
    </row>
    <row r="11" spans="1:3" x14ac:dyDescent="0.25">
      <c r="A11" s="1" t="s">
        <v>119</v>
      </c>
      <c r="B11" t="s">
        <v>178</v>
      </c>
      <c r="C11" s="52">
        <v>0.127</v>
      </c>
    </row>
    <row r="12" spans="1:3" x14ac:dyDescent="0.25">
      <c r="A12" s="1" t="s">
        <v>120</v>
      </c>
      <c r="B12" t="s">
        <v>178</v>
      </c>
      <c r="C12" s="52">
        <v>0.14130000000000001</v>
      </c>
    </row>
    <row r="13" spans="1:3" x14ac:dyDescent="0.25">
      <c r="A13" s="1" t="s">
        <v>5</v>
      </c>
      <c r="B13" t="s">
        <v>177</v>
      </c>
      <c r="C13" s="52">
        <v>0.64870000000000005</v>
      </c>
    </row>
    <row r="14" spans="1:3" x14ac:dyDescent="0.25">
      <c r="A14" s="1" t="s">
        <v>114</v>
      </c>
      <c r="B14" t="s">
        <v>177</v>
      </c>
      <c r="C14" s="52">
        <v>0.65339999999999998</v>
      </c>
    </row>
    <row r="15" spans="1:3" x14ac:dyDescent="0.25">
      <c r="A15" s="1" t="s">
        <v>115</v>
      </c>
      <c r="B15" t="s">
        <v>177</v>
      </c>
      <c r="C15" s="52">
        <v>0.66269999999999996</v>
      </c>
    </row>
    <row r="16" spans="1:3" x14ac:dyDescent="0.25">
      <c r="A16" s="1" t="s">
        <v>116</v>
      </c>
      <c r="B16" t="s">
        <v>177</v>
      </c>
      <c r="C16" s="52">
        <v>0.67300000000000004</v>
      </c>
    </row>
    <row r="17" spans="1:3" x14ac:dyDescent="0.25">
      <c r="A17" s="1" t="s">
        <v>117</v>
      </c>
      <c r="B17" t="s">
        <v>177</v>
      </c>
      <c r="C17" s="52">
        <v>0.67200000000000004</v>
      </c>
    </row>
    <row r="18" spans="1:3" x14ac:dyDescent="0.25">
      <c r="A18" s="1" t="s">
        <v>36</v>
      </c>
      <c r="B18" t="s">
        <v>177</v>
      </c>
      <c r="C18" s="52">
        <v>0.67459999999999998</v>
      </c>
    </row>
    <row r="19" spans="1:3" x14ac:dyDescent="0.25">
      <c r="A19" s="1" t="s">
        <v>118</v>
      </c>
      <c r="B19" t="s">
        <v>177</v>
      </c>
      <c r="C19" s="52">
        <v>0.7349</v>
      </c>
    </row>
    <row r="20" spans="1:3" x14ac:dyDescent="0.25">
      <c r="A20" s="1" t="s">
        <v>119</v>
      </c>
      <c r="B20" t="s">
        <v>177</v>
      </c>
      <c r="C20" s="52">
        <v>0.69969999999999999</v>
      </c>
    </row>
    <row r="21" spans="1:3" x14ac:dyDescent="0.25">
      <c r="A21" s="1" t="s">
        <v>120</v>
      </c>
      <c r="B21" t="s">
        <v>177</v>
      </c>
      <c r="C21" s="52">
        <v>0.68469999999999998</v>
      </c>
    </row>
    <row r="22" spans="1:3" x14ac:dyDescent="0.25">
      <c r="A22" s="1" t="s">
        <v>5</v>
      </c>
      <c r="B22" t="s">
        <v>180</v>
      </c>
      <c r="C22" s="52">
        <v>6.6500000000000004E-2</v>
      </c>
    </row>
    <row r="23" spans="1:3" x14ac:dyDescent="0.25">
      <c r="A23" s="1" t="s">
        <v>114</v>
      </c>
      <c r="B23" t="s">
        <v>180</v>
      </c>
      <c r="C23" s="52">
        <v>6.6600000000000006E-2</v>
      </c>
    </row>
    <row r="24" spans="1:3" x14ac:dyDescent="0.25">
      <c r="A24" s="1" t="s">
        <v>115</v>
      </c>
      <c r="B24" t="s">
        <v>180</v>
      </c>
      <c r="C24" s="52">
        <v>6.6100000000000006E-2</v>
      </c>
    </row>
    <row r="25" spans="1:3" x14ac:dyDescent="0.25">
      <c r="A25" s="1" t="s">
        <v>116</v>
      </c>
      <c r="B25" t="s">
        <v>180</v>
      </c>
      <c r="C25" s="52">
        <v>6.6299999999999998E-2</v>
      </c>
    </row>
    <row r="26" spans="1:3" x14ac:dyDescent="0.25">
      <c r="A26" s="1" t="s">
        <v>117</v>
      </c>
      <c r="B26" t="s">
        <v>180</v>
      </c>
      <c r="C26" s="52">
        <v>6.4899999999999999E-2</v>
      </c>
    </row>
    <row r="27" spans="1:3" x14ac:dyDescent="0.25">
      <c r="A27" s="1" t="s">
        <v>36</v>
      </c>
      <c r="B27" t="s">
        <v>180</v>
      </c>
      <c r="C27" s="52">
        <v>7.0800000000000002E-2</v>
      </c>
    </row>
    <row r="28" spans="1:3" x14ac:dyDescent="0.25">
      <c r="A28" s="1" t="s">
        <v>118</v>
      </c>
      <c r="B28" t="s">
        <v>180</v>
      </c>
      <c r="C28" s="52">
        <v>6.4600000000000005E-2</v>
      </c>
    </row>
    <row r="29" spans="1:3" x14ac:dyDescent="0.25">
      <c r="A29" s="1" t="s">
        <v>119</v>
      </c>
      <c r="B29" t="s">
        <v>180</v>
      </c>
      <c r="C29" s="52">
        <v>7.0099999999999996E-2</v>
      </c>
    </row>
    <row r="30" spans="1:3" x14ac:dyDescent="0.25">
      <c r="A30" s="1" t="s">
        <v>120</v>
      </c>
      <c r="B30" t="s">
        <v>180</v>
      </c>
      <c r="C30" s="52">
        <v>6.9000000000000006E-2</v>
      </c>
    </row>
    <row r="31" spans="1:3" x14ac:dyDescent="0.25">
      <c r="A31" s="1" t="s">
        <v>5</v>
      </c>
      <c r="B31" t="s">
        <v>179</v>
      </c>
      <c r="C31" s="52">
        <v>0.12139999999999999</v>
      </c>
    </row>
    <row r="32" spans="1:3" x14ac:dyDescent="0.25">
      <c r="A32" s="1" t="s">
        <v>114</v>
      </c>
      <c r="B32" t="s">
        <v>179</v>
      </c>
      <c r="C32" s="52">
        <v>0.1226</v>
      </c>
    </row>
    <row r="33" spans="1:3" x14ac:dyDescent="0.25">
      <c r="A33" s="1" t="s">
        <v>115</v>
      </c>
      <c r="B33" t="s">
        <v>179</v>
      </c>
      <c r="C33" s="52">
        <v>0.11840000000000001</v>
      </c>
    </row>
    <row r="34" spans="1:3" x14ac:dyDescent="0.25">
      <c r="A34" s="1" t="s">
        <v>116</v>
      </c>
      <c r="B34" t="s">
        <v>179</v>
      </c>
      <c r="C34" s="52">
        <v>0.1158</v>
      </c>
    </row>
    <row r="35" spans="1:3" x14ac:dyDescent="0.25">
      <c r="A35" s="1" t="s">
        <v>117</v>
      </c>
      <c r="B35" t="s">
        <v>179</v>
      </c>
      <c r="C35" s="52">
        <v>0.1198</v>
      </c>
    </row>
    <row r="36" spans="1:3" x14ac:dyDescent="0.25">
      <c r="A36" s="1" t="s">
        <v>36</v>
      </c>
      <c r="B36" t="s">
        <v>179</v>
      </c>
      <c r="C36" s="52">
        <v>0.1154</v>
      </c>
    </row>
    <row r="37" spans="1:3" x14ac:dyDescent="0.25">
      <c r="A37" s="1" t="s">
        <v>118</v>
      </c>
      <c r="B37" t="s">
        <v>179</v>
      </c>
      <c r="C37" s="52">
        <v>9.2200000000000004E-2</v>
      </c>
    </row>
    <row r="38" spans="1:3" x14ac:dyDescent="0.25">
      <c r="A38" s="1" t="s">
        <v>119</v>
      </c>
      <c r="B38" t="s">
        <v>179</v>
      </c>
      <c r="C38" s="52">
        <v>0.1032</v>
      </c>
    </row>
    <row r="39" spans="1:3" x14ac:dyDescent="0.25">
      <c r="A39" s="6" t="s">
        <v>120</v>
      </c>
      <c r="B39" s="8" t="s">
        <v>179</v>
      </c>
      <c r="C39" s="53">
        <v>0.105</v>
      </c>
    </row>
    <row r="41" spans="1:3" x14ac:dyDescent="0.25">
      <c r="A41" t="s">
        <v>73</v>
      </c>
    </row>
    <row r="43" spans="1:3" x14ac:dyDescent="0.25">
      <c r="A43" t="s">
        <v>136</v>
      </c>
    </row>
    <row r="44" spans="1:3" x14ac:dyDescent="0.25">
      <c r="A44" t="s">
        <v>181</v>
      </c>
    </row>
    <row r="45" spans="1:3" x14ac:dyDescent="0.25">
      <c r="A45" t="s">
        <v>183</v>
      </c>
    </row>
    <row r="46" spans="1:3" x14ac:dyDescent="0.25">
      <c r="A46" t="s">
        <v>184</v>
      </c>
    </row>
    <row r="47" spans="1:3" x14ac:dyDescent="0.25">
      <c r="A47" t="s">
        <v>185</v>
      </c>
    </row>
    <row r="48" spans="1:3" x14ac:dyDescent="0.25">
      <c r="A48" t="s">
        <v>186</v>
      </c>
    </row>
    <row r="49" spans="1:1" x14ac:dyDescent="0.25">
      <c r="A49" t="s">
        <v>187</v>
      </c>
    </row>
    <row r="51" spans="1:1" x14ac:dyDescent="0.25">
      <c r="A5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workbookViewId="0"/>
  </sheetViews>
  <sheetFormatPr defaultColWidth="11.42578125" defaultRowHeight="15" x14ac:dyDescent="0.25"/>
  <cols>
    <col min="1" max="1" width="17.7109375" customWidth="1"/>
    <col min="2" max="2" width="6.7109375" customWidth="1"/>
    <col min="3" max="3" width="9.7109375" customWidth="1"/>
  </cols>
  <sheetData>
    <row r="1" spans="1:3" x14ac:dyDescent="0.25">
      <c r="A1" t="s">
        <v>39</v>
      </c>
    </row>
    <row r="3" spans="1:3" x14ac:dyDescent="0.25">
      <c r="A3" s="4" t="s">
        <v>1</v>
      </c>
      <c r="B3" s="3" t="s">
        <v>2</v>
      </c>
      <c r="C3" s="5" t="s">
        <v>3</v>
      </c>
    </row>
    <row r="4" spans="1:3" x14ac:dyDescent="0.25">
      <c r="A4" s="1" t="s">
        <v>7</v>
      </c>
      <c r="B4" t="s">
        <v>5</v>
      </c>
      <c r="C4" s="10">
        <v>5.5999999999999999E-3</v>
      </c>
    </row>
    <row r="5" spans="1:3" x14ac:dyDescent="0.25">
      <c r="A5" s="1" t="s">
        <v>16</v>
      </c>
      <c r="B5" t="s">
        <v>5</v>
      </c>
      <c r="C5" s="10">
        <v>5.7000000000000002E-3</v>
      </c>
    </row>
    <row r="6" spans="1:3" x14ac:dyDescent="0.25">
      <c r="A6" s="1" t="s">
        <v>10</v>
      </c>
      <c r="B6" t="s">
        <v>5</v>
      </c>
      <c r="C6" s="10">
        <v>5.7000000000000002E-3</v>
      </c>
    </row>
    <row r="7" spans="1:3" x14ac:dyDescent="0.25">
      <c r="A7" s="1" t="s">
        <v>11</v>
      </c>
      <c r="B7" t="s">
        <v>5</v>
      </c>
      <c r="C7" s="10">
        <v>6.0000000000000001E-3</v>
      </c>
    </row>
    <row r="8" spans="1:3" x14ac:dyDescent="0.25">
      <c r="A8" s="1" t="s">
        <v>18</v>
      </c>
      <c r="B8" t="s">
        <v>5</v>
      </c>
      <c r="C8" s="10">
        <v>6.0000000000000001E-3</v>
      </c>
    </row>
    <row r="9" spans="1:3" x14ac:dyDescent="0.25">
      <c r="A9" s="1" t="s">
        <v>32</v>
      </c>
      <c r="B9" t="s">
        <v>5</v>
      </c>
      <c r="C9" s="10">
        <v>6.1999999999999998E-3</v>
      </c>
    </row>
    <row r="10" spans="1:3" x14ac:dyDescent="0.25">
      <c r="A10" s="1" t="s">
        <v>22</v>
      </c>
      <c r="B10" t="s">
        <v>5</v>
      </c>
      <c r="C10" s="10">
        <v>6.3E-3</v>
      </c>
    </row>
    <row r="11" spans="1:3" x14ac:dyDescent="0.25">
      <c r="A11" s="1" t="s">
        <v>6</v>
      </c>
      <c r="B11" t="s">
        <v>5</v>
      </c>
      <c r="C11" s="10">
        <v>6.3E-3</v>
      </c>
    </row>
    <row r="12" spans="1:3" x14ac:dyDescent="0.25">
      <c r="A12" s="1" t="s">
        <v>12</v>
      </c>
      <c r="B12" t="s">
        <v>5</v>
      </c>
      <c r="C12" s="10">
        <v>6.3E-3</v>
      </c>
    </row>
    <row r="13" spans="1:3" x14ac:dyDescent="0.25">
      <c r="A13" s="1" t="s">
        <v>8</v>
      </c>
      <c r="B13" t="s">
        <v>5</v>
      </c>
      <c r="C13" s="10">
        <v>6.3E-3</v>
      </c>
    </row>
    <row r="14" spans="1:3" x14ac:dyDescent="0.25">
      <c r="A14" s="1" t="s">
        <v>19</v>
      </c>
      <c r="B14" t="s">
        <v>5</v>
      </c>
      <c r="C14" s="10">
        <v>6.3E-3</v>
      </c>
    </row>
    <row r="15" spans="1:3" x14ac:dyDescent="0.25">
      <c r="A15" s="1" t="s">
        <v>21</v>
      </c>
      <c r="B15" t="s">
        <v>5</v>
      </c>
      <c r="C15" s="10">
        <v>6.3E-3</v>
      </c>
    </row>
    <row r="16" spans="1:3" x14ac:dyDescent="0.25">
      <c r="A16" s="1" t="s">
        <v>23</v>
      </c>
      <c r="B16" t="s">
        <v>5</v>
      </c>
      <c r="C16" s="10">
        <v>6.4000000000000003E-3</v>
      </c>
    </row>
    <row r="17" spans="1:3" x14ac:dyDescent="0.25">
      <c r="A17" s="1" t="s">
        <v>4</v>
      </c>
      <c r="B17" t="s">
        <v>5</v>
      </c>
      <c r="C17" s="10">
        <v>6.4000000000000003E-3</v>
      </c>
    </row>
    <row r="18" spans="1:3" x14ac:dyDescent="0.25">
      <c r="A18" s="1" t="s">
        <v>13</v>
      </c>
      <c r="B18" t="s">
        <v>5</v>
      </c>
      <c r="C18" s="10">
        <v>6.4000000000000003E-3</v>
      </c>
    </row>
    <row r="19" spans="1:3" x14ac:dyDescent="0.25">
      <c r="A19" s="1" t="s">
        <v>28</v>
      </c>
      <c r="B19" t="s">
        <v>5</v>
      </c>
      <c r="C19" s="10">
        <v>6.4000000000000003E-3</v>
      </c>
    </row>
    <row r="20" spans="1:3" x14ac:dyDescent="0.25">
      <c r="A20" s="1" t="s">
        <v>20</v>
      </c>
      <c r="B20" t="s">
        <v>5</v>
      </c>
      <c r="C20" s="10">
        <v>6.4000000000000003E-3</v>
      </c>
    </row>
    <row r="21" spans="1:3" x14ac:dyDescent="0.25">
      <c r="A21" s="1" t="s">
        <v>25</v>
      </c>
      <c r="B21" t="s">
        <v>5</v>
      </c>
      <c r="C21" s="10">
        <v>6.6E-3</v>
      </c>
    </row>
    <row r="22" spans="1:3" x14ac:dyDescent="0.25">
      <c r="A22" s="1" t="s">
        <v>34</v>
      </c>
      <c r="B22" t="s">
        <v>5</v>
      </c>
      <c r="C22" s="10">
        <v>6.7999999999999996E-3</v>
      </c>
    </row>
    <row r="23" spans="1:3" x14ac:dyDescent="0.25">
      <c r="A23" s="1" t="s">
        <v>17</v>
      </c>
      <c r="B23" t="s">
        <v>5</v>
      </c>
      <c r="C23" s="10">
        <v>7.0000000000000001E-3</v>
      </c>
    </row>
    <row r="24" spans="1:3" x14ac:dyDescent="0.25">
      <c r="A24" s="1" t="s">
        <v>35</v>
      </c>
      <c r="B24" t="s">
        <v>5</v>
      </c>
      <c r="C24" s="10">
        <v>7.1999999999999998E-3</v>
      </c>
    </row>
    <row r="25" spans="1:3" x14ac:dyDescent="0.25">
      <c r="A25" s="1" t="s">
        <v>30</v>
      </c>
      <c r="B25" t="s">
        <v>5</v>
      </c>
      <c r="C25" s="10">
        <v>7.1999999999999998E-3</v>
      </c>
    </row>
    <row r="26" spans="1:3" x14ac:dyDescent="0.25">
      <c r="A26" s="1" t="s">
        <v>29</v>
      </c>
      <c r="B26" t="s">
        <v>5</v>
      </c>
      <c r="C26" s="10">
        <v>7.3000000000000001E-3</v>
      </c>
    </row>
    <row r="27" spans="1:3" x14ac:dyDescent="0.25">
      <c r="A27" s="1" t="s">
        <v>24</v>
      </c>
      <c r="B27" t="s">
        <v>5</v>
      </c>
      <c r="C27" s="10">
        <v>7.4000000000000003E-3</v>
      </c>
    </row>
    <row r="28" spans="1:3" x14ac:dyDescent="0.25">
      <c r="A28" s="1" t="s">
        <v>15</v>
      </c>
      <c r="B28" t="s">
        <v>5</v>
      </c>
      <c r="C28" s="10">
        <v>7.4000000000000003E-3</v>
      </c>
    </row>
    <row r="29" spans="1:3" x14ac:dyDescent="0.25">
      <c r="A29" s="1" t="s">
        <v>31</v>
      </c>
      <c r="B29" t="s">
        <v>5</v>
      </c>
      <c r="C29" s="10">
        <v>7.4999999999999997E-3</v>
      </c>
    </row>
    <row r="30" spans="1:3" x14ac:dyDescent="0.25">
      <c r="A30" s="1" t="s">
        <v>9</v>
      </c>
      <c r="B30" t="s">
        <v>5</v>
      </c>
      <c r="C30" s="10">
        <v>7.6E-3</v>
      </c>
    </row>
    <row r="31" spans="1:3" x14ac:dyDescent="0.25">
      <c r="A31" s="1" t="s">
        <v>26</v>
      </c>
      <c r="B31" t="s">
        <v>5</v>
      </c>
      <c r="C31" s="10">
        <v>7.6E-3</v>
      </c>
    </row>
    <row r="32" spans="1:3" x14ac:dyDescent="0.25">
      <c r="A32" s="1" t="s">
        <v>14</v>
      </c>
      <c r="B32" t="s">
        <v>5</v>
      </c>
      <c r="C32" s="10">
        <v>7.7000000000000002E-3</v>
      </c>
    </row>
    <row r="33" spans="1:3" x14ac:dyDescent="0.25">
      <c r="A33" s="1" t="s">
        <v>27</v>
      </c>
      <c r="B33" t="s">
        <v>5</v>
      </c>
      <c r="C33" s="10">
        <v>7.7000000000000002E-3</v>
      </c>
    </row>
    <row r="34" spans="1:3" x14ac:dyDescent="0.25">
      <c r="A34" s="1" t="s">
        <v>33</v>
      </c>
      <c r="B34" t="s">
        <v>5</v>
      </c>
      <c r="C34" s="10">
        <v>7.9000000000000008E-3</v>
      </c>
    </row>
    <row r="35" spans="1:3" x14ac:dyDescent="0.25">
      <c r="A35" s="1" t="s">
        <v>7</v>
      </c>
      <c r="B35" t="s">
        <v>36</v>
      </c>
      <c r="C35" s="10">
        <v>5.5999999999999999E-3</v>
      </c>
    </row>
    <row r="36" spans="1:3" x14ac:dyDescent="0.25">
      <c r="A36" s="1" t="s">
        <v>10</v>
      </c>
      <c r="B36" t="s">
        <v>36</v>
      </c>
      <c r="C36" s="10">
        <v>5.7000000000000002E-3</v>
      </c>
    </row>
    <row r="37" spans="1:3" x14ac:dyDescent="0.25">
      <c r="A37" s="1" t="s">
        <v>16</v>
      </c>
      <c r="B37" t="s">
        <v>36</v>
      </c>
      <c r="C37" s="10">
        <v>5.7000000000000002E-3</v>
      </c>
    </row>
    <row r="38" spans="1:3" x14ac:dyDescent="0.25">
      <c r="A38" s="1" t="s">
        <v>11</v>
      </c>
      <c r="B38" t="s">
        <v>36</v>
      </c>
      <c r="C38" s="10">
        <v>5.8999999999999999E-3</v>
      </c>
    </row>
    <row r="39" spans="1:3" x14ac:dyDescent="0.25">
      <c r="A39" s="1" t="s">
        <v>22</v>
      </c>
      <c r="B39" t="s">
        <v>36</v>
      </c>
      <c r="C39" s="10">
        <v>6.1999999999999998E-3</v>
      </c>
    </row>
    <row r="40" spans="1:3" x14ac:dyDescent="0.25">
      <c r="A40" s="1" t="s">
        <v>32</v>
      </c>
      <c r="B40" t="s">
        <v>36</v>
      </c>
      <c r="C40" s="10">
        <v>6.3E-3</v>
      </c>
    </row>
    <row r="41" spans="1:3" x14ac:dyDescent="0.25">
      <c r="A41" s="1" t="s">
        <v>6</v>
      </c>
      <c r="B41" t="s">
        <v>36</v>
      </c>
      <c r="C41" s="10">
        <v>6.3E-3</v>
      </c>
    </row>
    <row r="42" spans="1:3" x14ac:dyDescent="0.25">
      <c r="A42" s="1" t="s">
        <v>12</v>
      </c>
      <c r="B42" t="s">
        <v>36</v>
      </c>
      <c r="C42" s="10">
        <v>6.3E-3</v>
      </c>
    </row>
    <row r="43" spans="1:3" x14ac:dyDescent="0.25">
      <c r="A43" s="1" t="s">
        <v>8</v>
      </c>
      <c r="B43" t="s">
        <v>36</v>
      </c>
      <c r="C43" s="10">
        <v>6.3E-3</v>
      </c>
    </row>
    <row r="44" spans="1:3" x14ac:dyDescent="0.25">
      <c r="A44" s="1" t="s">
        <v>19</v>
      </c>
      <c r="B44" t="s">
        <v>36</v>
      </c>
      <c r="C44" s="10">
        <v>6.3E-3</v>
      </c>
    </row>
    <row r="45" spans="1:3" x14ac:dyDescent="0.25">
      <c r="A45" s="1" t="s">
        <v>23</v>
      </c>
      <c r="B45" t="s">
        <v>36</v>
      </c>
      <c r="C45" s="10">
        <v>6.3E-3</v>
      </c>
    </row>
    <row r="46" spans="1:3" x14ac:dyDescent="0.25">
      <c r="A46" s="1" t="s">
        <v>21</v>
      </c>
      <c r="B46" t="s">
        <v>36</v>
      </c>
      <c r="C46" s="10">
        <v>6.3E-3</v>
      </c>
    </row>
    <row r="47" spans="1:3" x14ac:dyDescent="0.25">
      <c r="A47" s="1" t="s">
        <v>4</v>
      </c>
      <c r="B47" t="s">
        <v>36</v>
      </c>
      <c r="C47" s="10">
        <v>6.3E-3</v>
      </c>
    </row>
    <row r="48" spans="1:3" x14ac:dyDescent="0.25">
      <c r="A48" s="1" t="s">
        <v>13</v>
      </c>
      <c r="B48" t="s">
        <v>36</v>
      </c>
      <c r="C48" s="10">
        <v>6.4000000000000003E-3</v>
      </c>
    </row>
    <row r="49" spans="1:3" x14ac:dyDescent="0.25">
      <c r="A49" s="1" t="s">
        <v>20</v>
      </c>
      <c r="B49" t="s">
        <v>36</v>
      </c>
      <c r="C49" s="10">
        <v>6.4000000000000003E-3</v>
      </c>
    </row>
    <row r="50" spans="1:3" x14ac:dyDescent="0.25">
      <c r="A50" s="1" t="s">
        <v>18</v>
      </c>
      <c r="B50" t="s">
        <v>36</v>
      </c>
      <c r="C50" s="10">
        <v>6.4000000000000003E-3</v>
      </c>
    </row>
    <row r="51" spans="1:3" x14ac:dyDescent="0.25">
      <c r="A51" s="1" t="s">
        <v>28</v>
      </c>
      <c r="B51" t="s">
        <v>36</v>
      </c>
      <c r="C51" s="10">
        <v>6.4000000000000003E-3</v>
      </c>
    </row>
    <row r="52" spans="1:3" x14ac:dyDescent="0.25">
      <c r="A52" s="1" t="s">
        <v>25</v>
      </c>
      <c r="B52" t="s">
        <v>36</v>
      </c>
      <c r="C52" s="10">
        <v>6.7000000000000002E-3</v>
      </c>
    </row>
    <row r="53" spans="1:3" x14ac:dyDescent="0.25">
      <c r="A53" s="1" t="s">
        <v>34</v>
      </c>
      <c r="B53" t="s">
        <v>36</v>
      </c>
      <c r="C53" s="10">
        <v>6.7000000000000002E-3</v>
      </c>
    </row>
    <row r="54" spans="1:3" x14ac:dyDescent="0.25">
      <c r="A54" s="1" t="s">
        <v>17</v>
      </c>
      <c r="B54" t="s">
        <v>36</v>
      </c>
      <c r="C54" s="10">
        <v>6.7999999999999996E-3</v>
      </c>
    </row>
    <row r="55" spans="1:3" x14ac:dyDescent="0.25">
      <c r="A55" s="1" t="s">
        <v>30</v>
      </c>
      <c r="B55" t="s">
        <v>36</v>
      </c>
      <c r="C55" s="10">
        <v>7.3000000000000001E-3</v>
      </c>
    </row>
    <row r="56" spans="1:3" x14ac:dyDescent="0.25">
      <c r="A56" s="1" t="s">
        <v>29</v>
      </c>
      <c r="B56" t="s">
        <v>36</v>
      </c>
      <c r="C56" s="10">
        <v>7.3000000000000001E-3</v>
      </c>
    </row>
    <row r="57" spans="1:3" x14ac:dyDescent="0.25">
      <c r="A57" s="1" t="s">
        <v>24</v>
      </c>
      <c r="B57" t="s">
        <v>36</v>
      </c>
      <c r="C57" s="10">
        <v>7.4000000000000003E-3</v>
      </c>
    </row>
    <row r="58" spans="1:3" x14ac:dyDescent="0.25">
      <c r="A58" s="1" t="s">
        <v>35</v>
      </c>
      <c r="B58" t="s">
        <v>36</v>
      </c>
      <c r="C58" s="10">
        <v>7.4000000000000003E-3</v>
      </c>
    </row>
    <row r="59" spans="1:3" x14ac:dyDescent="0.25">
      <c r="A59" s="1" t="s">
        <v>15</v>
      </c>
      <c r="B59" t="s">
        <v>36</v>
      </c>
      <c r="C59" s="10">
        <v>7.4999999999999997E-3</v>
      </c>
    </row>
    <row r="60" spans="1:3" x14ac:dyDescent="0.25">
      <c r="A60" s="1" t="s">
        <v>31</v>
      </c>
      <c r="B60" t="s">
        <v>36</v>
      </c>
      <c r="C60" s="10">
        <v>7.4999999999999997E-3</v>
      </c>
    </row>
    <row r="61" spans="1:3" x14ac:dyDescent="0.25">
      <c r="A61" s="1" t="s">
        <v>9</v>
      </c>
      <c r="B61" t="s">
        <v>36</v>
      </c>
      <c r="C61" s="10">
        <v>7.6E-3</v>
      </c>
    </row>
    <row r="62" spans="1:3" x14ac:dyDescent="0.25">
      <c r="A62" s="1" t="s">
        <v>26</v>
      </c>
      <c r="B62" t="s">
        <v>36</v>
      </c>
      <c r="C62" s="10">
        <v>7.7000000000000002E-3</v>
      </c>
    </row>
    <row r="63" spans="1:3" x14ac:dyDescent="0.25">
      <c r="A63" s="1" t="s">
        <v>14</v>
      </c>
      <c r="B63" t="s">
        <v>36</v>
      </c>
      <c r="C63" s="10">
        <v>7.7000000000000002E-3</v>
      </c>
    </row>
    <row r="64" spans="1:3" x14ac:dyDescent="0.25">
      <c r="A64" s="1" t="s">
        <v>27</v>
      </c>
      <c r="B64" t="s">
        <v>36</v>
      </c>
      <c r="C64" s="10">
        <v>7.7000000000000002E-3</v>
      </c>
    </row>
    <row r="65" spans="1:3" x14ac:dyDescent="0.25">
      <c r="A65" s="6" t="s">
        <v>33</v>
      </c>
      <c r="B65" s="8" t="s">
        <v>36</v>
      </c>
      <c r="C65" s="11">
        <v>7.9000000000000008E-3</v>
      </c>
    </row>
    <row r="67" spans="1:3" x14ac:dyDescent="0.25">
      <c r="A67" t="s">
        <v>37</v>
      </c>
    </row>
    <row r="69" spans="1:3" x14ac:dyDescent="0.25">
      <c r="A69" t="s">
        <v>38</v>
      </c>
    </row>
    <row r="71" spans="1:3" x14ac:dyDescent="0.25">
      <c r="A7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/>
  </sheetViews>
  <sheetFormatPr defaultColWidth="11.42578125" defaultRowHeight="15" x14ac:dyDescent="0.25"/>
  <cols>
    <col min="1" max="1" width="28.7109375" customWidth="1"/>
    <col min="2" max="2" width="43.7109375" customWidth="1"/>
    <col min="3" max="3" width="39.7109375" customWidth="1"/>
  </cols>
  <sheetData>
    <row r="1" spans="1:3" x14ac:dyDescent="0.25">
      <c r="A1" t="s">
        <v>190</v>
      </c>
    </row>
    <row r="3" spans="1:3" x14ac:dyDescent="0.25">
      <c r="A3" s="4" t="s">
        <v>191</v>
      </c>
      <c r="B3" s="3" t="s">
        <v>192</v>
      </c>
      <c r="C3" s="5" t="s">
        <v>193</v>
      </c>
    </row>
    <row r="4" spans="1:3" x14ac:dyDescent="0.25">
      <c r="A4" s="127">
        <v>2014</v>
      </c>
      <c r="B4" s="120">
        <v>0.21299999999999999</v>
      </c>
      <c r="C4" s="121">
        <v>0.23400000000000001</v>
      </c>
    </row>
    <row r="5" spans="1:3" x14ac:dyDescent="0.25">
      <c r="A5" s="127">
        <v>2015</v>
      </c>
      <c r="B5" s="120">
        <v>0.20899999999999999</v>
      </c>
      <c r="C5" s="121">
        <v>0.23</v>
      </c>
    </row>
    <row r="6" spans="1:3" x14ac:dyDescent="0.25">
      <c r="A6" s="127">
        <v>2016</v>
      </c>
      <c r="B6" s="120">
        <v>0.20499999999999999</v>
      </c>
      <c r="C6" s="121">
        <v>0.22700000000000001</v>
      </c>
    </row>
    <row r="7" spans="1:3" x14ac:dyDescent="0.25">
      <c r="A7" s="127">
        <v>2017</v>
      </c>
      <c r="B7" s="120">
        <v>0.193</v>
      </c>
      <c r="C7" s="121">
        <v>0.214</v>
      </c>
    </row>
    <row r="8" spans="1:3" x14ac:dyDescent="0.25">
      <c r="A8" s="127">
        <v>2018</v>
      </c>
      <c r="B8" s="120">
        <v>0.192</v>
      </c>
      <c r="C8" s="121">
        <v>0.21199999999999999</v>
      </c>
    </row>
    <row r="9" spans="1:3" x14ac:dyDescent="0.25">
      <c r="A9" s="127">
        <v>2019</v>
      </c>
      <c r="B9" s="120">
        <v>0.185</v>
      </c>
      <c r="C9" s="121">
        <v>0.20499999999999999</v>
      </c>
    </row>
    <row r="10" spans="1:3" x14ac:dyDescent="0.25">
      <c r="A10" s="127">
        <v>2020</v>
      </c>
      <c r="B10" s="120">
        <v>0.15</v>
      </c>
      <c r="C10" s="121">
        <v>0.17</v>
      </c>
    </row>
    <row r="11" spans="1:3" x14ac:dyDescent="0.25">
      <c r="A11" s="127">
        <v>2021</v>
      </c>
      <c r="B11" s="120">
        <v>0.18099999999999999</v>
      </c>
      <c r="C11" s="121">
        <v>0.20300000000000001</v>
      </c>
    </row>
    <row r="12" spans="1:3" x14ac:dyDescent="0.25">
      <c r="A12" s="128">
        <v>2022</v>
      </c>
      <c r="B12" s="122">
        <v>0.186</v>
      </c>
      <c r="C12" s="123">
        <v>0.193</v>
      </c>
    </row>
    <row r="14" spans="1:3" x14ac:dyDescent="0.25">
      <c r="A14" t="s">
        <v>73</v>
      </c>
    </row>
    <row r="16" spans="1:3" x14ac:dyDescent="0.25">
      <c r="A16" t="s">
        <v>136</v>
      </c>
    </row>
    <row r="17" spans="1:1" x14ac:dyDescent="0.25">
      <c r="A17" t="s">
        <v>181</v>
      </c>
    </row>
    <row r="18" spans="1:1" x14ac:dyDescent="0.25">
      <c r="A18" t="s">
        <v>184</v>
      </c>
    </row>
    <row r="19" spans="1:1" x14ac:dyDescent="0.25">
      <c r="A19" t="s">
        <v>187</v>
      </c>
    </row>
    <row r="21" spans="1:1" x14ac:dyDescent="0.25">
      <c r="A2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/>
  </sheetViews>
  <sheetFormatPr defaultColWidth="11.42578125" defaultRowHeight="15" x14ac:dyDescent="0.25"/>
  <cols>
    <col min="1" max="1" width="28.7109375" customWidth="1"/>
    <col min="2" max="2" width="56.7109375" customWidth="1"/>
    <col min="3" max="3" width="52.7109375" customWidth="1"/>
  </cols>
  <sheetData>
    <row r="1" spans="1:3" x14ac:dyDescent="0.25">
      <c r="A1" t="s">
        <v>194</v>
      </c>
    </row>
    <row r="3" spans="1:3" x14ac:dyDescent="0.25">
      <c r="A3" s="4" t="s">
        <v>191</v>
      </c>
      <c r="B3" s="3" t="s">
        <v>195</v>
      </c>
      <c r="C3" s="5" t="s">
        <v>196</v>
      </c>
    </row>
    <row r="4" spans="1:3" x14ac:dyDescent="0.25">
      <c r="A4" s="127">
        <v>2014</v>
      </c>
      <c r="B4" s="115">
        <v>1.8</v>
      </c>
      <c r="C4" s="82">
        <v>2.4</v>
      </c>
    </row>
    <row r="5" spans="1:3" x14ac:dyDescent="0.25">
      <c r="A5" s="127">
        <v>2015</v>
      </c>
      <c r="B5" s="115">
        <v>1.8</v>
      </c>
      <c r="C5" s="82">
        <v>2.4</v>
      </c>
    </row>
    <row r="6" spans="1:3" x14ac:dyDescent="0.25">
      <c r="A6" s="127">
        <v>2016</v>
      </c>
      <c r="B6" s="115">
        <v>1.8</v>
      </c>
      <c r="C6" s="82">
        <v>2.2999999999999998</v>
      </c>
    </row>
    <row r="7" spans="1:3" x14ac:dyDescent="0.25">
      <c r="A7" s="127">
        <v>2017</v>
      </c>
      <c r="B7" s="115">
        <v>1.7</v>
      </c>
      <c r="C7" s="82">
        <v>2.2000000000000002</v>
      </c>
    </row>
    <row r="8" spans="1:3" x14ac:dyDescent="0.25">
      <c r="A8" s="127">
        <v>2018</v>
      </c>
      <c r="B8" s="115">
        <v>1.7</v>
      </c>
      <c r="C8" s="82">
        <v>2.2000000000000002</v>
      </c>
    </row>
    <row r="9" spans="1:3" x14ac:dyDescent="0.25">
      <c r="A9" s="127">
        <v>2019</v>
      </c>
      <c r="B9" s="115">
        <v>1.7</v>
      </c>
      <c r="C9" s="82">
        <v>2.1</v>
      </c>
    </row>
    <row r="10" spans="1:3" x14ac:dyDescent="0.25">
      <c r="A10" s="127">
        <v>2020</v>
      </c>
      <c r="B10" s="115">
        <v>1.8</v>
      </c>
      <c r="C10" s="82">
        <v>2.2999999999999998</v>
      </c>
    </row>
    <row r="11" spans="1:3" x14ac:dyDescent="0.25">
      <c r="A11" s="127">
        <v>2021</v>
      </c>
      <c r="B11" s="115">
        <v>1.8</v>
      </c>
      <c r="C11" s="82">
        <v>2.2999999999999998</v>
      </c>
    </row>
    <row r="12" spans="1:3" x14ac:dyDescent="0.25">
      <c r="A12" s="128">
        <v>2022</v>
      </c>
      <c r="B12" s="116">
        <v>1.5</v>
      </c>
      <c r="C12" s="83">
        <v>1.7</v>
      </c>
    </row>
    <row r="14" spans="1:3" x14ac:dyDescent="0.25">
      <c r="A14" t="s">
        <v>73</v>
      </c>
    </row>
    <row r="16" spans="1:3" x14ac:dyDescent="0.25">
      <c r="A16" t="s">
        <v>136</v>
      </c>
    </row>
    <row r="17" spans="1:1" x14ac:dyDescent="0.25">
      <c r="A17" t="s">
        <v>181</v>
      </c>
    </row>
    <row r="18" spans="1:1" x14ac:dyDescent="0.25">
      <c r="A18" t="s">
        <v>197</v>
      </c>
    </row>
    <row r="19" spans="1:1" x14ac:dyDescent="0.25">
      <c r="A19" t="s">
        <v>184</v>
      </c>
    </row>
    <row r="20" spans="1:1" x14ac:dyDescent="0.25">
      <c r="A20" t="s">
        <v>187</v>
      </c>
    </row>
    <row r="22" spans="1:1" x14ac:dyDescent="0.25">
      <c r="A22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/>
  </sheetViews>
  <sheetFormatPr defaultColWidth="11.42578125" defaultRowHeight="15" x14ac:dyDescent="0.25"/>
  <cols>
    <col min="1" max="1" width="22.7109375" customWidth="1"/>
    <col min="2" max="2" width="20.7109375" customWidth="1"/>
    <col min="3" max="3" width="18.7109375" customWidth="1"/>
  </cols>
  <sheetData>
    <row r="1" spans="1:3" x14ac:dyDescent="0.25">
      <c r="A1" t="s">
        <v>198</v>
      </c>
    </row>
    <row r="3" spans="1:3" x14ac:dyDescent="0.25">
      <c r="A3" s="4" t="s">
        <v>199</v>
      </c>
      <c r="B3" s="3" t="s">
        <v>200</v>
      </c>
      <c r="C3" s="5" t="s">
        <v>201</v>
      </c>
    </row>
    <row r="4" spans="1:3" x14ac:dyDescent="0.25">
      <c r="A4" s="1" t="s">
        <v>177</v>
      </c>
      <c r="B4" t="s">
        <v>202</v>
      </c>
      <c r="C4" s="54">
        <v>11016</v>
      </c>
    </row>
    <row r="5" spans="1:3" x14ac:dyDescent="0.25">
      <c r="A5" s="1" t="s">
        <v>202</v>
      </c>
      <c r="B5" t="s">
        <v>203</v>
      </c>
      <c r="C5" s="54">
        <v>16024</v>
      </c>
    </row>
    <row r="6" spans="1:3" x14ac:dyDescent="0.25">
      <c r="A6" s="1" t="s">
        <v>177</v>
      </c>
      <c r="B6" t="s">
        <v>177</v>
      </c>
      <c r="C6" s="54">
        <v>173629</v>
      </c>
    </row>
    <row r="7" spans="1:3" x14ac:dyDescent="0.25">
      <c r="A7" s="1" t="s">
        <v>202</v>
      </c>
      <c r="B7" t="s">
        <v>202</v>
      </c>
      <c r="C7" s="54">
        <v>40602</v>
      </c>
    </row>
    <row r="8" spans="1:3" x14ac:dyDescent="0.25">
      <c r="A8" s="1" t="s">
        <v>204</v>
      </c>
      <c r="B8" t="s">
        <v>204</v>
      </c>
      <c r="C8" s="54">
        <v>40177</v>
      </c>
    </row>
    <row r="9" spans="1:3" x14ac:dyDescent="0.25">
      <c r="A9" s="1" t="s">
        <v>177</v>
      </c>
      <c r="B9" t="s">
        <v>204</v>
      </c>
      <c r="C9" s="54">
        <v>7060</v>
      </c>
    </row>
    <row r="10" spans="1:3" x14ac:dyDescent="0.25">
      <c r="A10" s="1" t="s">
        <v>177</v>
      </c>
      <c r="B10" t="s">
        <v>203</v>
      </c>
      <c r="C10" s="54">
        <v>5588</v>
      </c>
    </row>
    <row r="11" spans="1:3" x14ac:dyDescent="0.25">
      <c r="A11" s="1" t="s">
        <v>202</v>
      </c>
      <c r="B11" t="s">
        <v>177</v>
      </c>
      <c r="C11" s="54">
        <v>11593</v>
      </c>
    </row>
    <row r="12" spans="1:3" x14ac:dyDescent="0.25">
      <c r="A12" s="1" t="s">
        <v>203</v>
      </c>
      <c r="B12" t="s">
        <v>203</v>
      </c>
      <c r="C12" s="54">
        <v>12810</v>
      </c>
    </row>
    <row r="13" spans="1:3" x14ac:dyDescent="0.25">
      <c r="A13" s="1" t="s">
        <v>202</v>
      </c>
      <c r="B13" t="s">
        <v>204</v>
      </c>
      <c r="C13" s="54">
        <v>3378</v>
      </c>
    </row>
    <row r="14" spans="1:3" x14ac:dyDescent="0.25">
      <c r="A14" s="1" t="s">
        <v>203</v>
      </c>
      <c r="B14" t="s">
        <v>177</v>
      </c>
      <c r="C14" s="54">
        <v>4293</v>
      </c>
    </row>
    <row r="15" spans="1:3" x14ac:dyDescent="0.25">
      <c r="A15" s="1" t="s">
        <v>203</v>
      </c>
      <c r="B15" t="s">
        <v>204</v>
      </c>
      <c r="C15" s="54">
        <v>1380</v>
      </c>
    </row>
    <row r="16" spans="1:3" x14ac:dyDescent="0.25">
      <c r="A16" s="1" t="s">
        <v>203</v>
      </c>
      <c r="B16" t="s">
        <v>202</v>
      </c>
      <c r="C16" s="54">
        <v>2225</v>
      </c>
    </row>
    <row r="17" spans="1:3" x14ac:dyDescent="0.25">
      <c r="A17" s="1" t="s">
        <v>204</v>
      </c>
      <c r="B17" t="s">
        <v>203</v>
      </c>
      <c r="C17" s="54">
        <v>1693</v>
      </c>
    </row>
    <row r="18" spans="1:3" x14ac:dyDescent="0.25">
      <c r="A18" s="1" t="s">
        <v>204</v>
      </c>
      <c r="B18" t="s">
        <v>177</v>
      </c>
      <c r="C18" s="54">
        <v>7134</v>
      </c>
    </row>
    <row r="19" spans="1:3" x14ac:dyDescent="0.25">
      <c r="A19" s="6" t="s">
        <v>204</v>
      </c>
      <c r="B19" s="8" t="s">
        <v>202</v>
      </c>
      <c r="C19" s="55">
        <v>1904</v>
      </c>
    </row>
    <row r="21" spans="1:3" x14ac:dyDescent="0.25">
      <c r="A21" t="s">
        <v>73</v>
      </c>
    </row>
    <row r="26" spans="1:3" x14ac:dyDescent="0.25">
      <c r="A26" t="s">
        <v>136</v>
      </c>
    </row>
    <row r="27" spans="1:3" x14ac:dyDescent="0.25">
      <c r="A27" t="s">
        <v>181</v>
      </c>
    </row>
    <row r="28" spans="1:3" x14ac:dyDescent="0.25">
      <c r="A28" t="s">
        <v>183</v>
      </c>
    </row>
    <row r="29" spans="1:3" x14ac:dyDescent="0.25">
      <c r="A29" t="s">
        <v>184</v>
      </c>
    </row>
    <row r="30" spans="1:3" x14ac:dyDescent="0.25">
      <c r="A30" t="s">
        <v>185</v>
      </c>
    </row>
    <row r="31" spans="1:3" x14ac:dyDescent="0.25">
      <c r="A31" t="s">
        <v>186</v>
      </c>
    </row>
    <row r="32" spans="1:3" x14ac:dyDescent="0.25">
      <c r="A32" t="s">
        <v>187</v>
      </c>
    </row>
    <row r="34" spans="1:1" x14ac:dyDescent="0.25">
      <c r="A34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/>
  </sheetViews>
  <sheetFormatPr defaultColWidth="11.42578125" defaultRowHeight="15" x14ac:dyDescent="0.25"/>
  <cols>
    <col min="1" max="1" width="22.7109375" customWidth="1"/>
    <col min="2" max="2" width="20.7109375" customWidth="1"/>
    <col min="3" max="3" width="21.7109375" customWidth="1"/>
    <col min="4" max="4" width="18.7109375" customWidth="1"/>
  </cols>
  <sheetData>
    <row r="1" spans="1:4" x14ac:dyDescent="0.25">
      <c r="A1" t="s">
        <v>205</v>
      </c>
    </row>
    <row r="3" spans="1:4" x14ac:dyDescent="0.25">
      <c r="A3" s="4" t="s">
        <v>199</v>
      </c>
      <c r="B3" s="3" t="s">
        <v>200</v>
      </c>
      <c r="C3" s="3" t="s">
        <v>206</v>
      </c>
      <c r="D3" s="5" t="s">
        <v>201</v>
      </c>
    </row>
    <row r="4" spans="1:4" x14ac:dyDescent="0.25">
      <c r="A4" s="1" t="s">
        <v>177</v>
      </c>
      <c r="B4" t="s">
        <v>202</v>
      </c>
      <c r="C4" t="s">
        <v>177</v>
      </c>
      <c r="D4" s="56">
        <v>2578</v>
      </c>
    </row>
    <row r="5" spans="1:4" x14ac:dyDescent="0.25">
      <c r="A5" s="1" t="s">
        <v>177</v>
      </c>
      <c r="B5" t="s">
        <v>177</v>
      </c>
      <c r="C5" t="s">
        <v>177</v>
      </c>
      <c r="D5" s="56">
        <v>101654</v>
      </c>
    </row>
    <row r="6" spans="1:4" x14ac:dyDescent="0.25">
      <c r="A6" s="1" t="s">
        <v>177</v>
      </c>
      <c r="B6" t="s">
        <v>177</v>
      </c>
      <c r="C6" t="s">
        <v>204</v>
      </c>
      <c r="D6" s="56">
        <v>2093</v>
      </c>
    </row>
    <row r="7" spans="1:4" x14ac:dyDescent="0.25">
      <c r="A7" s="1" t="s">
        <v>177</v>
      </c>
      <c r="B7" t="s">
        <v>203</v>
      </c>
      <c r="C7" t="s">
        <v>177</v>
      </c>
      <c r="D7" s="56">
        <v>1128</v>
      </c>
    </row>
    <row r="8" spans="1:4" x14ac:dyDescent="0.25">
      <c r="A8" s="1" t="s">
        <v>177</v>
      </c>
      <c r="B8" t="s">
        <v>204</v>
      </c>
      <c r="C8" t="s">
        <v>204</v>
      </c>
      <c r="D8" s="56">
        <v>3354</v>
      </c>
    </row>
    <row r="9" spans="1:4" x14ac:dyDescent="0.25">
      <c r="A9" s="1" t="s">
        <v>177</v>
      </c>
      <c r="B9" t="s">
        <v>177</v>
      </c>
      <c r="C9" t="s">
        <v>202</v>
      </c>
      <c r="D9" s="56">
        <v>2622</v>
      </c>
    </row>
    <row r="10" spans="1:4" x14ac:dyDescent="0.25">
      <c r="A10" s="1" t="s">
        <v>177</v>
      </c>
      <c r="B10" t="s">
        <v>202</v>
      </c>
      <c r="C10" t="s">
        <v>202</v>
      </c>
      <c r="D10" s="56">
        <v>3488</v>
      </c>
    </row>
    <row r="11" spans="1:4" x14ac:dyDescent="0.25">
      <c r="A11" s="1" t="s">
        <v>177</v>
      </c>
      <c r="B11" t="s">
        <v>204</v>
      </c>
      <c r="C11" t="s">
        <v>177</v>
      </c>
      <c r="D11" s="56">
        <v>1602</v>
      </c>
    </row>
    <row r="12" spans="1:4" x14ac:dyDescent="0.25">
      <c r="A12" s="1" t="s">
        <v>177</v>
      </c>
      <c r="B12" t="s">
        <v>202</v>
      </c>
      <c r="C12" t="s">
        <v>203</v>
      </c>
      <c r="D12" s="56">
        <v>2038</v>
      </c>
    </row>
    <row r="13" spans="1:4" x14ac:dyDescent="0.25">
      <c r="A13" s="1" t="s">
        <v>177</v>
      </c>
      <c r="B13" t="s">
        <v>203</v>
      </c>
      <c r="C13" t="s">
        <v>203</v>
      </c>
      <c r="D13" s="56">
        <v>2781</v>
      </c>
    </row>
    <row r="14" spans="1:4" x14ac:dyDescent="0.25">
      <c r="A14" s="1" t="s">
        <v>177</v>
      </c>
      <c r="B14" t="s">
        <v>177</v>
      </c>
      <c r="C14" t="s">
        <v>203</v>
      </c>
      <c r="D14" s="56">
        <v>1948</v>
      </c>
    </row>
    <row r="15" spans="1:4" x14ac:dyDescent="0.25">
      <c r="A15" s="1" t="s">
        <v>177</v>
      </c>
      <c r="B15" t="s">
        <v>203</v>
      </c>
      <c r="C15" t="s">
        <v>204</v>
      </c>
      <c r="D15" s="56">
        <v>165</v>
      </c>
    </row>
    <row r="16" spans="1:4" x14ac:dyDescent="0.25">
      <c r="A16" s="1" t="s">
        <v>177</v>
      </c>
      <c r="B16" t="s">
        <v>204</v>
      </c>
      <c r="C16" t="s">
        <v>203</v>
      </c>
      <c r="D16" s="56">
        <v>192</v>
      </c>
    </row>
    <row r="17" spans="1:4" x14ac:dyDescent="0.25">
      <c r="A17" s="1" t="s">
        <v>177</v>
      </c>
      <c r="B17" t="s">
        <v>202</v>
      </c>
      <c r="C17" t="s">
        <v>204</v>
      </c>
      <c r="D17" s="56">
        <v>413</v>
      </c>
    </row>
    <row r="18" spans="1:4" x14ac:dyDescent="0.25">
      <c r="A18" s="1" t="s">
        <v>177</v>
      </c>
      <c r="B18" t="s">
        <v>204</v>
      </c>
      <c r="C18" t="s">
        <v>202</v>
      </c>
      <c r="D18" s="56">
        <v>234</v>
      </c>
    </row>
    <row r="19" spans="1:4" x14ac:dyDescent="0.25">
      <c r="A19" s="6" t="s">
        <v>177</v>
      </c>
      <c r="B19" s="8" t="s">
        <v>203</v>
      </c>
      <c r="C19" s="8" t="s">
        <v>202</v>
      </c>
      <c r="D19" s="57">
        <v>208</v>
      </c>
    </row>
    <row r="21" spans="1:4" x14ac:dyDescent="0.25">
      <c r="A21" t="s">
        <v>73</v>
      </c>
    </row>
    <row r="26" spans="1:4" x14ac:dyDescent="0.25">
      <c r="A26" t="s">
        <v>136</v>
      </c>
    </row>
    <row r="27" spans="1:4" x14ac:dyDescent="0.25">
      <c r="A27" t="s">
        <v>181</v>
      </c>
    </row>
    <row r="28" spans="1:4" x14ac:dyDescent="0.25">
      <c r="A28" t="s">
        <v>183</v>
      </c>
    </row>
    <row r="29" spans="1:4" x14ac:dyDescent="0.25">
      <c r="A29" t="s">
        <v>184</v>
      </c>
    </row>
    <row r="30" spans="1:4" x14ac:dyDescent="0.25">
      <c r="A30" t="s">
        <v>185</v>
      </c>
    </row>
    <row r="31" spans="1:4" x14ac:dyDescent="0.25">
      <c r="A31" t="s">
        <v>186</v>
      </c>
    </row>
    <row r="32" spans="1:4" x14ac:dyDescent="0.25">
      <c r="A32" t="s">
        <v>187</v>
      </c>
    </row>
    <row r="34" spans="1:1" x14ac:dyDescent="0.25">
      <c r="A34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/>
  </sheetViews>
  <sheetFormatPr defaultColWidth="11.42578125" defaultRowHeight="15" x14ac:dyDescent="0.25"/>
  <cols>
    <col min="1" max="1" width="22.7109375" customWidth="1"/>
    <col min="2" max="2" width="20.7109375" customWidth="1"/>
    <col min="3" max="3" width="21.7109375" customWidth="1"/>
    <col min="4" max="4" width="18.7109375" customWidth="1"/>
  </cols>
  <sheetData>
    <row r="1" spans="1:4" x14ac:dyDescent="0.25">
      <c r="A1" t="s">
        <v>207</v>
      </c>
    </row>
    <row r="3" spans="1:4" x14ac:dyDescent="0.25">
      <c r="A3" s="4" t="s">
        <v>199</v>
      </c>
      <c r="B3" s="3" t="s">
        <v>200</v>
      </c>
      <c r="C3" s="3" t="s">
        <v>206</v>
      </c>
      <c r="D3" s="5" t="s">
        <v>201</v>
      </c>
    </row>
    <row r="4" spans="1:4" x14ac:dyDescent="0.25">
      <c r="A4" s="1" t="s">
        <v>202</v>
      </c>
      <c r="B4" t="s">
        <v>203</v>
      </c>
      <c r="C4" t="s">
        <v>202</v>
      </c>
      <c r="D4" s="58">
        <v>9882</v>
      </c>
    </row>
    <row r="5" spans="1:4" x14ac:dyDescent="0.25">
      <c r="A5" s="1" t="s">
        <v>202</v>
      </c>
      <c r="B5" t="s">
        <v>202</v>
      </c>
      <c r="C5" t="s">
        <v>202</v>
      </c>
      <c r="D5" s="58">
        <v>18622</v>
      </c>
    </row>
    <row r="6" spans="1:4" x14ac:dyDescent="0.25">
      <c r="A6" s="1" t="s">
        <v>202</v>
      </c>
      <c r="B6" t="s">
        <v>203</v>
      </c>
      <c r="C6" t="s">
        <v>203</v>
      </c>
      <c r="D6" s="58">
        <v>433</v>
      </c>
    </row>
    <row r="7" spans="1:4" x14ac:dyDescent="0.25">
      <c r="A7" s="1" t="s">
        <v>202</v>
      </c>
      <c r="B7" t="s">
        <v>202</v>
      </c>
      <c r="C7" t="s">
        <v>177</v>
      </c>
      <c r="D7" s="58">
        <v>4075</v>
      </c>
    </row>
    <row r="8" spans="1:4" x14ac:dyDescent="0.25">
      <c r="A8" s="1" t="s">
        <v>202</v>
      </c>
      <c r="B8" t="s">
        <v>177</v>
      </c>
      <c r="C8" t="s">
        <v>203</v>
      </c>
      <c r="D8" s="58">
        <v>1021</v>
      </c>
    </row>
    <row r="9" spans="1:4" x14ac:dyDescent="0.25">
      <c r="A9" s="1" t="s">
        <v>202</v>
      </c>
      <c r="B9" t="s">
        <v>177</v>
      </c>
      <c r="C9" t="s">
        <v>202</v>
      </c>
      <c r="D9" s="58">
        <v>3066</v>
      </c>
    </row>
    <row r="10" spans="1:4" x14ac:dyDescent="0.25">
      <c r="A10" s="1" t="s">
        <v>202</v>
      </c>
      <c r="B10" t="s">
        <v>204</v>
      </c>
      <c r="C10" t="s">
        <v>202</v>
      </c>
      <c r="D10" s="58">
        <v>1027</v>
      </c>
    </row>
    <row r="11" spans="1:4" x14ac:dyDescent="0.25">
      <c r="A11" s="1" t="s">
        <v>202</v>
      </c>
      <c r="B11" t="s">
        <v>177</v>
      </c>
      <c r="C11" t="s">
        <v>177</v>
      </c>
      <c r="D11" s="58">
        <v>4041</v>
      </c>
    </row>
    <row r="12" spans="1:4" x14ac:dyDescent="0.25">
      <c r="A12" s="1" t="s">
        <v>202</v>
      </c>
      <c r="B12" t="s">
        <v>203</v>
      </c>
      <c r="C12" t="s">
        <v>177</v>
      </c>
      <c r="D12" s="58">
        <v>898</v>
      </c>
    </row>
    <row r="13" spans="1:4" x14ac:dyDescent="0.25">
      <c r="A13" s="1" t="s">
        <v>202</v>
      </c>
      <c r="B13" t="s">
        <v>202</v>
      </c>
      <c r="C13" t="s">
        <v>204</v>
      </c>
      <c r="D13" s="58">
        <v>935</v>
      </c>
    </row>
    <row r="14" spans="1:4" x14ac:dyDescent="0.25">
      <c r="A14" s="1" t="s">
        <v>202</v>
      </c>
      <c r="B14" t="s">
        <v>202</v>
      </c>
      <c r="C14" t="s">
        <v>203</v>
      </c>
      <c r="D14" s="58">
        <v>3349</v>
      </c>
    </row>
    <row r="15" spans="1:4" x14ac:dyDescent="0.25">
      <c r="A15" s="1" t="s">
        <v>202</v>
      </c>
      <c r="B15" t="s">
        <v>204</v>
      </c>
      <c r="C15" t="s">
        <v>204</v>
      </c>
      <c r="D15" s="58">
        <v>1266</v>
      </c>
    </row>
    <row r="16" spans="1:4" x14ac:dyDescent="0.25">
      <c r="A16" s="1" t="s">
        <v>202</v>
      </c>
      <c r="B16" t="s">
        <v>177</v>
      </c>
      <c r="C16" t="s">
        <v>204</v>
      </c>
      <c r="D16" s="58">
        <v>356</v>
      </c>
    </row>
    <row r="17" spans="1:4" x14ac:dyDescent="0.25">
      <c r="A17" s="1" t="s">
        <v>202</v>
      </c>
      <c r="B17" t="s">
        <v>203</v>
      </c>
      <c r="C17" t="s">
        <v>204</v>
      </c>
      <c r="D17" s="58">
        <v>661</v>
      </c>
    </row>
    <row r="18" spans="1:4" x14ac:dyDescent="0.25">
      <c r="A18" s="1" t="s">
        <v>202</v>
      </c>
      <c r="B18" t="s">
        <v>204</v>
      </c>
      <c r="C18" t="s">
        <v>177</v>
      </c>
      <c r="D18" s="58">
        <v>241</v>
      </c>
    </row>
    <row r="19" spans="1:4" x14ac:dyDescent="0.25">
      <c r="A19" s="6" t="s">
        <v>202</v>
      </c>
      <c r="B19" s="8" t="s">
        <v>204</v>
      </c>
      <c r="C19" s="8" t="s">
        <v>203</v>
      </c>
      <c r="D19" s="59">
        <v>377</v>
      </c>
    </row>
    <row r="21" spans="1:4" x14ac:dyDescent="0.25">
      <c r="A21" t="s">
        <v>73</v>
      </c>
    </row>
    <row r="26" spans="1:4" x14ac:dyDescent="0.25">
      <c r="A26" t="s">
        <v>136</v>
      </c>
    </row>
    <row r="27" spans="1:4" x14ac:dyDescent="0.25">
      <c r="A27" t="s">
        <v>181</v>
      </c>
    </row>
    <row r="28" spans="1:4" x14ac:dyDescent="0.25">
      <c r="A28" t="s">
        <v>183</v>
      </c>
    </row>
    <row r="29" spans="1:4" x14ac:dyDescent="0.25">
      <c r="A29" t="s">
        <v>184</v>
      </c>
    </row>
    <row r="30" spans="1:4" x14ac:dyDescent="0.25">
      <c r="A30" t="s">
        <v>185</v>
      </c>
    </row>
    <row r="31" spans="1:4" x14ac:dyDescent="0.25">
      <c r="A31" t="s">
        <v>186</v>
      </c>
    </row>
    <row r="32" spans="1:4" x14ac:dyDescent="0.25">
      <c r="A32" t="s">
        <v>187</v>
      </c>
    </row>
    <row r="34" spans="1:1" x14ac:dyDescent="0.25">
      <c r="A34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/>
  </sheetViews>
  <sheetFormatPr defaultColWidth="11.42578125" defaultRowHeight="15" x14ac:dyDescent="0.25"/>
  <cols>
    <col min="1" max="1" width="22.7109375" customWidth="1"/>
    <col min="2" max="2" width="20.7109375" customWidth="1"/>
    <col min="3" max="3" width="21.7109375" customWidth="1"/>
    <col min="4" max="4" width="18.7109375" customWidth="1"/>
  </cols>
  <sheetData>
    <row r="1" spans="1:4" x14ac:dyDescent="0.25">
      <c r="A1" t="s">
        <v>208</v>
      </c>
    </row>
    <row r="3" spans="1:4" x14ac:dyDescent="0.25">
      <c r="A3" s="4" t="s">
        <v>199</v>
      </c>
      <c r="B3" s="3" t="s">
        <v>200</v>
      </c>
      <c r="C3" s="3" t="s">
        <v>206</v>
      </c>
      <c r="D3" s="5" t="s">
        <v>201</v>
      </c>
    </row>
    <row r="4" spans="1:4" x14ac:dyDescent="0.25">
      <c r="A4" s="1" t="s">
        <v>204</v>
      </c>
      <c r="B4" t="s">
        <v>204</v>
      </c>
      <c r="C4" t="s">
        <v>204</v>
      </c>
      <c r="D4" s="60">
        <v>27266</v>
      </c>
    </row>
    <row r="5" spans="1:4" x14ac:dyDescent="0.25">
      <c r="A5" s="1" t="s">
        <v>204</v>
      </c>
      <c r="B5" t="s">
        <v>204</v>
      </c>
      <c r="C5" t="s">
        <v>177</v>
      </c>
      <c r="D5" s="60">
        <v>2848</v>
      </c>
    </row>
    <row r="6" spans="1:4" x14ac:dyDescent="0.25">
      <c r="A6" s="1" t="s">
        <v>204</v>
      </c>
      <c r="B6" t="s">
        <v>203</v>
      </c>
      <c r="C6" t="s">
        <v>204</v>
      </c>
      <c r="D6" s="60">
        <v>879</v>
      </c>
    </row>
    <row r="7" spans="1:4" x14ac:dyDescent="0.25">
      <c r="A7" s="1" t="s">
        <v>204</v>
      </c>
      <c r="B7" t="s">
        <v>177</v>
      </c>
      <c r="C7" t="s">
        <v>204</v>
      </c>
      <c r="D7" s="60">
        <v>2008</v>
      </c>
    </row>
    <row r="8" spans="1:4" x14ac:dyDescent="0.25">
      <c r="A8" s="1" t="s">
        <v>204</v>
      </c>
      <c r="B8" t="s">
        <v>202</v>
      </c>
      <c r="C8" t="s">
        <v>177</v>
      </c>
      <c r="D8" s="60">
        <v>250</v>
      </c>
    </row>
    <row r="9" spans="1:4" x14ac:dyDescent="0.25">
      <c r="A9" s="1" t="s">
        <v>204</v>
      </c>
      <c r="B9" t="s">
        <v>202</v>
      </c>
      <c r="C9" t="s">
        <v>204</v>
      </c>
      <c r="D9" s="60">
        <v>430</v>
      </c>
    </row>
    <row r="10" spans="1:4" x14ac:dyDescent="0.25">
      <c r="A10" s="1" t="s">
        <v>204</v>
      </c>
      <c r="B10" t="s">
        <v>177</v>
      </c>
      <c r="C10" t="s">
        <v>177</v>
      </c>
      <c r="D10" s="60">
        <v>2732</v>
      </c>
    </row>
    <row r="11" spans="1:4" x14ac:dyDescent="0.25">
      <c r="A11" s="1" t="s">
        <v>204</v>
      </c>
      <c r="B11" t="s">
        <v>204</v>
      </c>
      <c r="C11" t="s">
        <v>203</v>
      </c>
      <c r="D11" s="60">
        <v>634</v>
      </c>
    </row>
    <row r="12" spans="1:4" x14ac:dyDescent="0.25">
      <c r="A12" s="1" t="s">
        <v>204</v>
      </c>
      <c r="B12" t="s">
        <v>203</v>
      </c>
      <c r="C12" t="s">
        <v>203</v>
      </c>
      <c r="D12" s="60">
        <v>256</v>
      </c>
    </row>
    <row r="13" spans="1:4" x14ac:dyDescent="0.25">
      <c r="A13" s="1" t="s">
        <v>204</v>
      </c>
      <c r="B13" t="s">
        <v>202</v>
      </c>
      <c r="C13" t="s">
        <v>203</v>
      </c>
      <c r="D13" s="60">
        <v>167</v>
      </c>
    </row>
    <row r="14" spans="1:4" x14ac:dyDescent="0.25">
      <c r="A14" s="1" t="s">
        <v>204</v>
      </c>
      <c r="B14" t="s">
        <v>203</v>
      </c>
      <c r="C14" t="s">
        <v>177</v>
      </c>
      <c r="D14" s="60">
        <v>145</v>
      </c>
    </row>
    <row r="15" spans="1:4" x14ac:dyDescent="0.25">
      <c r="A15" s="1" t="s">
        <v>204</v>
      </c>
      <c r="B15" t="s">
        <v>177</v>
      </c>
      <c r="C15" t="s">
        <v>202</v>
      </c>
      <c r="D15" s="60">
        <v>211</v>
      </c>
    </row>
    <row r="16" spans="1:4" x14ac:dyDescent="0.25">
      <c r="A16" s="1" t="s">
        <v>204</v>
      </c>
      <c r="B16" t="s">
        <v>204</v>
      </c>
      <c r="C16" t="s">
        <v>202</v>
      </c>
      <c r="D16" s="60">
        <v>765</v>
      </c>
    </row>
    <row r="17" spans="1:4" x14ac:dyDescent="0.25">
      <c r="A17" s="1" t="s">
        <v>204</v>
      </c>
      <c r="B17" t="s">
        <v>202</v>
      </c>
      <c r="C17" t="s">
        <v>202</v>
      </c>
      <c r="D17" s="60">
        <v>642</v>
      </c>
    </row>
    <row r="18" spans="1:4" x14ac:dyDescent="0.25">
      <c r="A18" s="1" t="s">
        <v>204</v>
      </c>
      <c r="B18" t="s">
        <v>177</v>
      </c>
      <c r="C18" t="s">
        <v>203</v>
      </c>
      <c r="D18" s="60">
        <v>209</v>
      </c>
    </row>
    <row r="19" spans="1:4" x14ac:dyDescent="0.25">
      <c r="A19" s="6" t="s">
        <v>204</v>
      </c>
      <c r="B19" s="8" t="s">
        <v>203</v>
      </c>
      <c r="C19" s="8" t="s">
        <v>202</v>
      </c>
      <c r="D19" s="61">
        <v>37</v>
      </c>
    </row>
    <row r="21" spans="1:4" x14ac:dyDescent="0.25">
      <c r="A21" t="s">
        <v>73</v>
      </c>
    </row>
    <row r="26" spans="1:4" x14ac:dyDescent="0.25">
      <c r="A26" t="s">
        <v>136</v>
      </c>
    </row>
    <row r="27" spans="1:4" x14ac:dyDescent="0.25">
      <c r="A27" t="s">
        <v>181</v>
      </c>
    </row>
    <row r="28" spans="1:4" x14ac:dyDescent="0.25">
      <c r="A28" t="s">
        <v>183</v>
      </c>
    </row>
    <row r="29" spans="1:4" x14ac:dyDescent="0.25">
      <c r="A29" t="s">
        <v>184</v>
      </c>
    </row>
    <row r="30" spans="1:4" x14ac:dyDescent="0.25">
      <c r="A30" t="s">
        <v>185</v>
      </c>
    </row>
    <row r="31" spans="1:4" x14ac:dyDescent="0.25">
      <c r="A31" t="s">
        <v>186</v>
      </c>
    </row>
    <row r="32" spans="1:4" x14ac:dyDescent="0.25">
      <c r="A32" t="s">
        <v>187</v>
      </c>
    </row>
    <row r="34" spans="1:1" x14ac:dyDescent="0.25">
      <c r="A34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</cols>
  <sheetData>
    <row r="1" spans="1:2" x14ac:dyDescent="0.25">
      <c r="A1" t="s">
        <v>209</v>
      </c>
    </row>
    <row r="3" spans="1:2" x14ac:dyDescent="0.25">
      <c r="A3" s="4" t="s">
        <v>2</v>
      </c>
      <c r="B3" s="5" t="s">
        <v>210</v>
      </c>
    </row>
    <row r="4" spans="1:2" x14ac:dyDescent="0.25">
      <c r="A4" s="1">
        <v>2014</v>
      </c>
      <c r="B4" s="62">
        <v>94.1</v>
      </c>
    </row>
    <row r="5" spans="1:2" x14ac:dyDescent="0.25">
      <c r="A5" s="1">
        <v>2015</v>
      </c>
      <c r="B5" s="62">
        <v>98.9</v>
      </c>
    </row>
    <row r="6" spans="1:2" x14ac:dyDescent="0.25">
      <c r="A6" s="1">
        <v>2016</v>
      </c>
      <c r="B6" s="62">
        <v>106.9</v>
      </c>
    </row>
    <row r="7" spans="1:2" x14ac:dyDescent="0.25">
      <c r="A7" s="1">
        <v>2017</v>
      </c>
      <c r="B7" s="62">
        <v>114.2</v>
      </c>
    </row>
    <row r="8" spans="1:2" x14ac:dyDescent="0.25">
      <c r="A8" s="1">
        <v>2018</v>
      </c>
      <c r="B8" s="62">
        <v>120.1</v>
      </c>
    </row>
    <row r="9" spans="1:2" x14ac:dyDescent="0.25">
      <c r="A9" s="1">
        <v>2019</v>
      </c>
      <c r="B9" s="62">
        <v>124.2</v>
      </c>
    </row>
    <row r="10" spans="1:2" x14ac:dyDescent="0.25">
      <c r="A10" s="1">
        <v>2020</v>
      </c>
      <c r="B10" s="62">
        <v>115</v>
      </c>
    </row>
    <row r="11" spans="1:2" x14ac:dyDescent="0.25">
      <c r="A11" s="1">
        <v>2021</v>
      </c>
      <c r="B11" s="62">
        <v>116.9</v>
      </c>
    </row>
    <row r="12" spans="1:2" x14ac:dyDescent="0.25">
      <c r="A12" s="6">
        <v>2022</v>
      </c>
      <c r="B12" s="63">
        <v>119.9</v>
      </c>
    </row>
    <row r="14" spans="1:2" x14ac:dyDescent="0.25">
      <c r="A14" t="s">
        <v>73</v>
      </c>
    </row>
    <row r="23" spans="1:1" x14ac:dyDescent="0.25">
      <c r="A23" t="s">
        <v>211</v>
      </c>
    </row>
    <row r="25" spans="1:1" x14ac:dyDescent="0.25">
      <c r="A25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workbookViewId="0"/>
  </sheetViews>
  <sheetFormatPr defaultColWidth="11.42578125" defaultRowHeight="15" x14ac:dyDescent="0.25"/>
  <cols>
    <col min="1" max="1" width="6.7109375" customWidth="1"/>
    <col min="2" max="2" width="15.7109375" customWidth="1"/>
    <col min="3" max="3" width="30.7109375" customWidth="1"/>
  </cols>
  <sheetData>
    <row r="1" spans="1:3" x14ac:dyDescent="0.25">
      <c r="A1" t="s">
        <v>212</v>
      </c>
    </row>
    <row r="3" spans="1:3" x14ac:dyDescent="0.25">
      <c r="A3" s="4" t="s">
        <v>2</v>
      </c>
      <c r="B3" s="3" t="s">
        <v>67</v>
      </c>
      <c r="C3" s="5" t="s">
        <v>213</v>
      </c>
    </row>
    <row r="4" spans="1:3" x14ac:dyDescent="0.25">
      <c r="A4" s="1">
        <v>2014</v>
      </c>
      <c r="B4" t="s">
        <v>69</v>
      </c>
      <c r="C4" s="64">
        <v>4.5999999999999999E-2</v>
      </c>
    </row>
    <row r="5" spans="1:3" x14ac:dyDescent="0.25">
      <c r="A5" s="1">
        <v>2014</v>
      </c>
      <c r="B5" t="s">
        <v>70</v>
      </c>
      <c r="C5" s="64">
        <v>0.17599999999999999</v>
      </c>
    </row>
    <row r="6" spans="1:3" x14ac:dyDescent="0.25">
      <c r="A6" s="1">
        <v>2014</v>
      </c>
      <c r="B6" t="s">
        <v>71</v>
      </c>
      <c r="C6" s="64">
        <v>0.52800000000000002</v>
      </c>
    </row>
    <row r="7" spans="1:3" x14ac:dyDescent="0.25">
      <c r="A7" s="1">
        <v>2014</v>
      </c>
      <c r="B7" t="s">
        <v>72</v>
      </c>
      <c r="C7" s="64">
        <v>0.25</v>
      </c>
    </row>
    <row r="8" spans="1:3" x14ac:dyDescent="0.25">
      <c r="A8" s="1">
        <v>2015</v>
      </c>
      <c r="B8" t="s">
        <v>69</v>
      </c>
      <c r="C8" s="64">
        <v>4.4999999999999998E-2</v>
      </c>
    </row>
    <row r="9" spans="1:3" x14ac:dyDescent="0.25">
      <c r="A9" s="1">
        <v>2015</v>
      </c>
      <c r="B9" t="s">
        <v>70</v>
      </c>
      <c r="C9" s="64">
        <v>0.17399999999999999</v>
      </c>
    </row>
    <row r="10" spans="1:3" x14ac:dyDescent="0.25">
      <c r="A10" s="1">
        <v>2015</v>
      </c>
      <c r="B10" t="s">
        <v>71</v>
      </c>
      <c r="C10" s="64">
        <v>0.51200000000000001</v>
      </c>
    </row>
    <row r="11" spans="1:3" x14ac:dyDescent="0.25">
      <c r="A11" s="1">
        <v>2015</v>
      </c>
      <c r="B11" t="s">
        <v>72</v>
      </c>
      <c r="C11" s="64">
        <v>0.27</v>
      </c>
    </row>
    <row r="12" spans="1:3" x14ac:dyDescent="0.25">
      <c r="A12" s="1">
        <v>2016</v>
      </c>
      <c r="B12" t="s">
        <v>69</v>
      </c>
      <c r="C12" s="64">
        <v>4.2000000000000003E-2</v>
      </c>
    </row>
    <row r="13" spans="1:3" x14ac:dyDescent="0.25">
      <c r="A13" s="1">
        <v>2016</v>
      </c>
      <c r="B13" t="s">
        <v>70</v>
      </c>
      <c r="C13" s="64">
        <v>0.17100000000000001</v>
      </c>
    </row>
    <row r="14" spans="1:3" x14ac:dyDescent="0.25">
      <c r="A14" s="1">
        <v>2016</v>
      </c>
      <c r="B14" t="s">
        <v>71</v>
      </c>
      <c r="C14" s="64">
        <v>0.501</v>
      </c>
    </row>
    <row r="15" spans="1:3" x14ac:dyDescent="0.25">
      <c r="A15" s="1">
        <v>2016</v>
      </c>
      <c r="B15" t="s">
        <v>72</v>
      </c>
      <c r="C15" s="64">
        <v>0.28599999999999998</v>
      </c>
    </row>
    <row r="16" spans="1:3" x14ac:dyDescent="0.25">
      <c r="A16" s="1">
        <v>2017</v>
      </c>
      <c r="B16" t="s">
        <v>69</v>
      </c>
      <c r="C16" s="64">
        <v>3.6999999999999998E-2</v>
      </c>
    </row>
    <row r="17" spans="1:3" x14ac:dyDescent="0.25">
      <c r="A17" s="1">
        <v>2017</v>
      </c>
      <c r="B17" t="s">
        <v>70</v>
      </c>
      <c r="C17" s="64">
        <v>0.16400000000000001</v>
      </c>
    </row>
    <row r="18" spans="1:3" x14ac:dyDescent="0.25">
      <c r="A18" s="1">
        <v>2017</v>
      </c>
      <c r="B18" t="s">
        <v>71</v>
      </c>
      <c r="C18" s="64">
        <v>0.498</v>
      </c>
    </row>
    <row r="19" spans="1:3" x14ac:dyDescent="0.25">
      <c r="A19" s="1">
        <v>2017</v>
      </c>
      <c r="B19" t="s">
        <v>72</v>
      </c>
      <c r="C19" s="64">
        <v>0.30199999999999999</v>
      </c>
    </row>
    <row r="20" spans="1:3" x14ac:dyDescent="0.25">
      <c r="A20" s="1">
        <v>2018</v>
      </c>
      <c r="B20" t="s">
        <v>69</v>
      </c>
      <c r="C20" s="64">
        <v>3.3000000000000002E-2</v>
      </c>
    </row>
    <row r="21" spans="1:3" x14ac:dyDescent="0.25">
      <c r="A21" s="1">
        <v>2018</v>
      </c>
      <c r="B21" t="s">
        <v>70</v>
      </c>
      <c r="C21" s="64">
        <v>0.16700000000000001</v>
      </c>
    </row>
    <row r="22" spans="1:3" x14ac:dyDescent="0.25">
      <c r="A22" s="1">
        <v>2018</v>
      </c>
      <c r="B22" t="s">
        <v>71</v>
      </c>
      <c r="C22" s="64">
        <v>0.48499999999999999</v>
      </c>
    </row>
    <row r="23" spans="1:3" x14ac:dyDescent="0.25">
      <c r="A23" s="1">
        <v>2018</v>
      </c>
      <c r="B23" t="s">
        <v>72</v>
      </c>
      <c r="C23" s="64">
        <v>0.315</v>
      </c>
    </row>
    <row r="24" spans="1:3" x14ac:dyDescent="0.25">
      <c r="A24" s="1">
        <v>2019</v>
      </c>
      <c r="B24" t="s">
        <v>69</v>
      </c>
      <c r="C24" s="64">
        <v>3.1E-2</v>
      </c>
    </row>
    <row r="25" spans="1:3" x14ac:dyDescent="0.25">
      <c r="A25" s="1">
        <v>2019</v>
      </c>
      <c r="B25" t="s">
        <v>70</v>
      </c>
      <c r="C25" s="64">
        <v>0.17</v>
      </c>
    </row>
    <row r="26" spans="1:3" x14ac:dyDescent="0.25">
      <c r="A26" s="1">
        <v>2019</v>
      </c>
      <c r="B26" t="s">
        <v>71</v>
      </c>
      <c r="C26" s="64">
        <v>0.47499999999999998</v>
      </c>
    </row>
    <row r="27" spans="1:3" x14ac:dyDescent="0.25">
      <c r="A27" s="1">
        <v>2019</v>
      </c>
      <c r="B27" t="s">
        <v>72</v>
      </c>
      <c r="C27" s="64">
        <v>0.32400000000000001</v>
      </c>
    </row>
    <row r="28" spans="1:3" x14ac:dyDescent="0.25">
      <c r="A28" s="1">
        <v>2020</v>
      </c>
      <c r="B28" t="s">
        <v>69</v>
      </c>
      <c r="C28" s="64">
        <v>2.8000000000000001E-2</v>
      </c>
    </row>
    <row r="29" spans="1:3" x14ac:dyDescent="0.25">
      <c r="A29" s="1">
        <v>2020</v>
      </c>
      <c r="B29" t="s">
        <v>70</v>
      </c>
      <c r="C29" s="64">
        <v>0.17299999999999999</v>
      </c>
    </row>
    <row r="30" spans="1:3" x14ac:dyDescent="0.25">
      <c r="A30" s="1">
        <v>2020</v>
      </c>
      <c r="B30" t="s">
        <v>71</v>
      </c>
      <c r="C30" s="64">
        <v>0.46</v>
      </c>
    </row>
    <row r="31" spans="1:3" x14ac:dyDescent="0.25">
      <c r="A31" s="1">
        <v>2020</v>
      </c>
      <c r="B31" t="s">
        <v>72</v>
      </c>
      <c r="C31" s="64">
        <v>0.33900000000000002</v>
      </c>
    </row>
    <row r="32" spans="1:3" x14ac:dyDescent="0.25">
      <c r="A32" s="1">
        <v>2021</v>
      </c>
      <c r="B32" t="s">
        <v>69</v>
      </c>
      <c r="C32" s="64">
        <v>2.8000000000000001E-2</v>
      </c>
    </row>
    <row r="33" spans="1:3" x14ac:dyDescent="0.25">
      <c r="A33" s="1">
        <v>2021</v>
      </c>
      <c r="B33" t="s">
        <v>70</v>
      </c>
      <c r="C33" s="64">
        <v>0.18</v>
      </c>
    </row>
    <row r="34" spans="1:3" x14ac:dyDescent="0.25">
      <c r="A34" s="1">
        <v>2021</v>
      </c>
      <c r="B34" t="s">
        <v>71</v>
      </c>
      <c r="C34" s="64">
        <v>0.45700000000000002</v>
      </c>
    </row>
    <row r="35" spans="1:3" x14ac:dyDescent="0.25">
      <c r="A35" s="1">
        <v>2021</v>
      </c>
      <c r="B35" t="s">
        <v>72</v>
      </c>
      <c r="C35" s="64">
        <v>0.33600000000000002</v>
      </c>
    </row>
    <row r="36" spans="1:3" x14ac:dyDescent="0.25">
      <c r="A36" s="1">
        <v>2022</v>
      </c>
      <c r="B36" t="s">
        <v>69</v>
      </c>
      <c r="C36" s="64">
        <v>2.5999999999999999E-2</v>
      </c>
    </row>
    <row r="37" spans="1:3" x14ac:dyDescent="0.25">
      <c r="A37" s="1">
        <v>2022</v>
      </c>
      <c r="B37" t="s">
        <v>70</v>
      </c>
      <c r="C37" s="64">
        <v>0.182</v>
      </c>
    </row>
    <row r="38" spans="1:3" x14ac:dyDescent="0.25">
      <c r="A38" s="1">
        <v>2022</v>
      </c>
      <c r="B38" t="s">
        <v>71</v>
      </c>
      <c r="C38" s="64">
        <v>0.45900000000000002</v>
      </c>
    </row>
    <row r="39" spans="1:3" x14ac:dyDescent="0.25">
      <c r="A39" s="6">
        <v>2022</v>
      </c>
      <c r="B39" s="8" t="s">
        <v>72</v>
      </c>
      <c r="C39" s="65">
        <v>0.33300000000000002</v>
      </c>
    </row>
    <row r="41" spans="1:3" x14ac:dyDescent="0.25">
      <c r="A41" t="s">
        <v>73</v>
      </c>
    </row>
    <row r="43" spans="1:3" x14ac:dyDescent="0.25">
      <c r="A43" t="s">
        <v>211</v>
      </c>
    </row>
    <row r="45" spans="1:3" x14ac:dyDescent="0.25">
      <c r="A45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11.42578125" defaultRowHeight="15" x14ac:dyDescent="0.25"/>
  <cols>
    <col min="1" max="1" width="21.7109375" customWidth="1"/>
    <col min="2" max="2" width="14.7109375" customWidth="1"/>
  </cols>
  <sheetData>
    <row r="1" spans="1:2" x14ac:dyDescent="0.25">
      <c r="A1" t="s">
        <v>214</v>
      </c>
    </row>
    <row r="3" spans="1:2" x14ac:dyDescent="0.25">
      <c r="A3" s="4" t="s">
        <v>78</v>
      </c>
      <c r="B3" s="5" t="s">
        <v>215</v>
      </c>
    </row>
    <row r="4" spans="1:2" x14ac:dyDescent="0.25">
      <c r="A4" s="1" t="s">
        <v>216</v>
      </c>
      <c r="B4" s="32">
        <v>111.1</v>
      </c>
    </row>
    <row r="5" spans="1:2" x14ac:dyDescent="0.25">
      <c r="A5" s="1" t="s">
        <v>217</v>
      </c>
      <c r="B5" s="32">
        <v>136.4</v>
      </c>
    </row>
    <row r="6" spans="1:2" x14ac:dyDescent="0.25">
      <c r="A6" s="1" t="s">
        <v>218</v>
      </c>
      <c r="B6" s="32">
        <v>108</v>
      </c>
    </row>
    <row r="7" spans="1:2" x14ac:dyDescent="0.25">
      <c r="A7" s="1" t="s">
        <v>219</v>
      </c>
      <c r="B7" s="32">
        <v>90.9</v>
      </c>
    </row>
    <row r="8" spans="1:2" x14ac:dyDescent="0.25">
      <c r="A8" s="1" t="s">
        <v>220</v>
      </c>
      <c r="B8" s="32">
        <v>127.1</v>
      </c>
    </row>
    <row r="9" spans="1:2" x14ac:dyDescent="0.25">
      <c r="A9" s="1" t="s">
        <v>221</v>
      </c>
      <c r="B9" s="32">
        <v>112.5</v>
      </c>
    </row>
    <row r="10" spans="1:2" x14ac:dyDescent="0.25">
      <c r="A10" s="1" t="s">
        <v>222</v>
      </c>
      <c r="B10" s="32">
        <v>119.3</v>
      </c>
    </row>
    <row r="11" spans="1:2" x14ac:dyDescent="0.25">
      <c r="A11" s="1" t="s">
        <v>223</v>
      </c>
      <c r="B11" s="32">
        <v>113</v>
      </c>
    </row>
    <row r="12" spans="1:2" x14ac:dyDescent="0.25">
      <c r="A12" s="1" t="s">
        <v>224</v>
      </c>
      <c r="B12" s="32">
        <v>91.6</v>
      </c>
    </row>
    <row r="13" spans="1:2" x14ac:dyDescent="0.25">
      <c r="A13" s="1" t="s">
        <v>225</v>
      </c>
      <c r="B13" s="32">
        <v>114.5</v>
      </c>
    </row>
    <row r="14" spans="1:2" x14ac:dyDescent="0.25">
      <c r="A14" s="1" t="s">
        <v>226</v>
      </c>
      <c r="B14" s="32">
        <v>105.3</v>
      </c>
    </row>
    <row r="15" spans="1:2" x14ac:dyDescent="0.25">
      <c r="A15" s="1" t="s">
        <v>227</v>
      </c>
      <c r="B15" s="32">
        <v>114</v>
      </c>
    </row>
    <row r="16" spans="1:2" x14ac:dyDescent="0.25">
      <c r="A16" s="1" t="s">
        <v>228</v>
      </c>
      <c r="B16" s="32">
        <v>117.6</v>
      </c>
    </row>
    <row r="17" spans="1:2" x14ac:dyDescent="0.25">
      <c r="A17" s="1" t="s">
        <v>229</v>
      </c>
      <c r="B17" s="32">
        <v>99.1</v>
      </c>
    </row>
    <row r="18" spans="1:2" x14ac:dyDescent="0.25">
      <c r="A18" s="1" t="s">
        <v>230</v>
      </c>
      <c r="B18" s="32">
        <v>105.4</v>
      </c>
    </row>
    <row r="19" spans="1:2" x14ac:dyDescent="0.25">
      <c r="A19" s="6" t="s">
        <v>231</v>
      </c>
      <c r="B19" s="33">
        <v>114.2</v>
      </c>
    </row>
    <row r="21" spans="1:2" x14ac:dyDescent="0.25">
      <c r="A21" t="s">
        <v>232</v>
      </c>
    </row>
    <row r="23" spans="1:2" x14ac:dyDescent="0.25">
      <c r="A23" t="s">
        <v>211</v>
      </c>
    </row>
    <row r="25" spans="1:2" x14ac:dyDescent="0.25">
      <c r="A25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11.42578125" defaultRowHeight="15" x14ac:dyDescent="0.25"/>
  <cols>
    <col min="1" max="1" width="21.7109375" customWidth="1"/>
    <col min="2" max="2" width="14.7109375" customWidth="1"/>
  </cols>
  <sheetData>
    <row r="1" spans="1:2" x14ac:dyDescent="0.25">
      <c r="A1" t="s">
        <v>233</v>
      </c>
    </row>
    <row r="3" spans="1:2" x14ac:dyDescent="0.25">
      <c r="A3" s="4" t="s">
        <v>78</v>
      </c>
      <c r="B3" s="5" t="s">
        <v>215</v>
      </c>
    </row>
    <row r="4" spans="1:2" x14ac:dyDescent="0.25">
      <c r="A4" s="1" t="s">
        <v>216</v>
      </c>
      <c r="B4" s="32">
        <v>67.2</v>
      </c>
    </row>
    <row r="5" spans="1:2" x14ac:dyDescent="0.25">
      <c r="A5" s="1" t="s">
        <v>217</v>
      </c>
      <c r="B5" s="32">
        <v>84.5</v>
      </c>
    </row>
    <row r="6" spans="1:2" x14ac:dyDescent="0.25">
      <c r="A6" s="1" t="s">
        <v>218</v>
      </c>
      <c r="B6" s="32">
        <v>66.2</v>
      </c>
    </row>
    <row r="7" spans="1:2" x14ac:dyDescent="0.25">
      <c r="A7" s="1" t="s">
        <v>219</v>
      </c>
      <c r="B7" s="32">
        <v>55</v>
      </c>
    </row>
    <row r="8" spans="1:2" x14ac:dyDescent="0.25">
      <c r="A8" s="1" t="s">
        <v>220</v>
      </c>
      <c r="B8" s="32">
        <v>74.7</v>
      </c>
    </row>
    <row r="9" spans="1:2" x14ac:dyDescent="0.25">
      <c r="A9" s="1" t="s">
        <v>221</v>
      </c>
      <c r="B9" s="32">
        <v>70.2</v>
      </c>
    </row>
    <row r="10" spans="1:2" x14ac:dyDescent="0.25">
      <c r="A10" s="1" t="s">
        <v>222</v>
      </c>
      <c r="B10" s="32">
        <v>78</v>
      </c>
    </row>
    <row r="11" spans="1:2" x14ac:dyDescent="0.25">
      <c r="A11" s="1" t="s">
        <v>223</v>
      </c>
      <c r="B11" s="32">
        <v>68.8</v>
      </c>
    </row>
    <row r="12" spans="1:2" x14ac:dyDescent="0.25">
      <c r="A12" s="1" t="s">
        <v>224</v>
      </c>
      <c r="B12" s="32">
        <v>54.9</v>
      </c>
    </row>
    <row r="13" spans="1:2" x14ac:dyDescent="0.25">
      <c r="A13" s="1" t="s">
        <v>225</v>
      </c>
      <c r="B13" s="32">
        <v>54.7</v>
      </c>
    </row>
    <row r="14" spans="1:2" x14ac:dyDescent="0.25">
      <c r="A14" s="1" t="s">
        <v>226</v>
      </c>
      <c r="B14" s="32">
        <v>67.099999999999994</v>
      </c>
    </row>
    <row r="15" spans="1:2" x14ac:dyDescent="0.25">
      <c r="A15" s="1" t="s">
        <v>227</v>
      </c>
      <c r="B15" s="32">
        <v>77.2</v>
      </c>
    </row>
    <row r="16" spans="1:2" x14ac:dyDescent="0.25">
      <c r="A16" s="1" t="s">
        <v>228</v>
      </c>
      <c r="B16" s="32">
        <v>73.2</v>
      </c>
    </row>
    <row r="17" spans="1:2" x14ac:dyDescent="0.25">
      <c r="A17" s="1" t="s">
        <v>229</v>
      </c>
      <c r="B17" s="32">
        <v>58.3</v>
      </c>
    </row>
    <row r="18" spans="1:2" x14ac:dyDescent="0.25">
      <c r="A18" s="1" t="s">
        <v>230</v>
      </c>
      <c r="B18" s="32">
        <v>68.7</v>
      </c>
    </row>
    <row r="19" spans="1:2" x14ac:dyDescent="0.25">
      <c r="A19" s="6" t="s">
        <v>231</v>
      </c>
      <c r="B19" s="33">
        <v>66.2</v>
      </c>
    </row>
    <row r="21" spans="1:2" x14ac:dyDescent="0.25">
      <c r="A21" t="s">
        <v>232</v>
      </c>
    </row>
    <row r="23" spans="1:2" x14ac:dyDescent="0.25">
      <c r="A23" t="s">
        <v>211</v>
      </c>
    </row>
    <row r="25" spans="1:2" x14ac:dyDescent="0.25">
      <c r="A25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/>
  </sheetViews>
  <sheetFormatPr defaultColWidth="11.42578125" defaultRowHeight="15" x14ac:dyDescent="0.25"/>
  <cols>
    <col min="1" max="1" width="11.7109375" customWidth="1"/>
    <col min="2" max="2" width="6.7109375" customWidth="1"/>
    <col min="3" max="3" width="26.7109375" customWidth="1"/>
    <col min="4" max="5" width="29.7109375" customWidth="1"/>
    <col min="6" max="6" width="18.7109375" customWidth="1"/>
    <col min="7" max="8" width="25.7109375" customWidth="1"/>
  </cols>
  <sheetData>
    <row r="1" spans="1:8" x14ac:dyDescent="0.25">
      <c r="A1" t="s">
        <v>40</v>
      </c>
    </row>
    <row r="3" spans="1:8" x14ac:dyDescent="0.25">
      <c r="A3" s="4" t="s">
        <v>41</v>
      </c>
      <c r="B3" s="3" t="s">
        <v>2</v>
      </c>
      <c r="C3" s="3" t="s">
        <v>334</v>
      </c>
      <c r="D3" s="3" t="s">
        <v>335</v>
      </c>
      <c r="E3" s="3" t="s">
        <v>336</v>
      </c>
      <c r="F3" s="3" t="s">
        <v>42</v>
      </c>
      <c r="G3" s="3" t="s">
        <v>43</v>
      </c>
      <c r="H3" s="5" t="s">
        <v>44</v>
      </c>
    </row>
    <row r="4" spans="1:8" x14ac:dyDescent="0.25">
      <c r="A4" s="1" t="s">
        <v>45</v>
      </c>
      <c r="B4">
        <v>2000</v>
      </c>
      <c r="C4" s="12">
        <v>249.7</v>
      </c>
      <c r="D4">
        <v>289</v>
      </c>
      <c r="E4">
        <v>210.7</v>
      </c>
      <c r="F4" s="13">
        <v>1.2699999999999999E-2</v>
      </c>
      <c r="G4" s="13">
        <v>1.46E-2</v>
      </c>
      <c r="H4" s="14">
        <v>1.0699999999999999E-2</v>
      </c>
    </row>
    <row r="5" spans="1:8" x14ac:dyDescent="0.25">
      <c r="A5" s="1" t="s">
        <v>45</v>
      </c>
      <c r="B5">
        <v>2001</v>
      </c>
      <c r="C5" s="12">
        <v>255.4</v>
      </c>
      <c r="D5">
        <v>295.8</v>
      </c>
      <c r="E5">
        <v>214.8</v>
      </c>
      <c r="F5" s="13">
        <v>1.29E-2</v>
      </c>
      <c r="G5" s="13">
        <v>1.4999999999999999E-2</v>
      </c>
      <c r="H5" s="14">
        <v>1.09E-2</v>
      </c>
    </row>
    <row r="6" spans="1:8" x14ac:dyDescent="0.25">
      <c r="A6" s="1" t="s">
        <v>45</v>
      </c>
      <c r="B6">
        <v>2002</v>
      </c>
      <c r="C6" s="12">
        <v>261.60000000000002</v>
      </c>
      <c r="D6">
        <v>303.39999999999998</v>
      </c>
      <c r="E6">
        <v>220.4</v>
      </c>
      <c r="F6" s="13">
        <v>1.3299999999999999E-2</v>
      </c>
      <c r="G6" s="13">
        <v>1.54E-2</v>
      </c>
      <c r="H6" s="14">
        <v>1.12E-2</v>
      </c>
    </row>
    <row r="7" spans="1:8" x14ac:dyDescent="0.25">
      <c r="A7" s="1" t="s">
        <v>45</v>
      </c>
      <c r="B7">
        <v>2003</v>
      </c>
      <c r="C7" s="12">
        <v>268</v>
      </c>
      <c r="D7">
        <v>311.3</v>
      </c>
      <c r="E7">
        <v>225.5</v>
      </c>
      <c r="F7" s="13">
        <v>1.3599999999999999E-2</v>
      </c>
      <c r="G7" s="13">
        <v>1.5800000000000002E-2</v>
      </c>
      <c r="H7" s="14">
        <v>1.14E-2</v>
      </c>
    </row>
    <row r="8" spans="1:8" x14ac:dyDescent="0.25">
      <c r="A8" s="1" t="s">
        <v>45</v>
      </c>
      <c r="B8">
        <v>2004</v>
      </c>
      <c r="C8" s="12">
        <v>275.5</v>
      </c>
      <c r="D8">
        <v>320.2</v>
      </c>
      <c r="E8">
        <v>232.2</v>
      </c>
      <c r="F8" s="13">
        <v>1.4E-2</v>
      </c>
      <c r="G8" s="13">
        <v>1.6299999999999999E-2</v>
      </c>
      <c r="H8" s="14">
        <v>1.18E-2</v>
      </c>
    </row>
    <row r="9" spans="1:8" x14ac:dyDescent="0.25">
      <c r="A9" s="1" t="s">
        <v>45</v>
      </c>
      <c r="B9">
        <v>2005</v>
      </c>
      <c r="C9" s="12">
        <v>284.2</v>
      </c>
      <c r="D9">
        <v>331.1</v>
      </c>
      <c r="E9">
        <v>239.7</v>
      </c>
      <c r="F9" s="13">
        <v>1.44E-2</v>
      </c>
      <c r="G9" s="13">
        <v>1.6799999999999999E-2</v>
      </c>
      <c r="H9" s="14">
        <v>1.2200000000000001E-2</v>
      </c>
    </row>
    <row r="10" spans="1:8" x14ac:dyDescent="0.25">
      <c r="A10" s="1" t="s">
        <v>45</v>
      </c>
      <c r="B10">
        <v>2006</v>
      </c>
      <c r="C10" s="12">
        <v>292.10000000000002</v>
      </c>
      <c r="D10">
        <v>340.7</v>
      </c>
      <c r="E10">
        <v>246.5</v>
      </c>
      <c r="F10" s="13">
        <v>1.4800000000000001E-2</v>
      </c>
      <c r="G10" s="13">
        <v>1.7299999999999999E-2</v>
      </c>
      <c r="H10" s="14">
        <v>1.2500000000000001E-2</v>
      </c>
    </row>
    <row r="11" spans="1:8" x14ac:dyDescent="0.25">
      <c r="A11" s="1" t="s">
        <v>45</v>
      </c>
      <c r="B11">
        <v>2007</v>
      </c>
      <c r="C11" s="12">
        <v>299.5</v>
      </c>
      <c r="D11">
        <v>349.6</v>
      </c>
      <c r="E11">
        <v>253.1</v>
      </c>
      <c r="F11" s="13">
        <v>1.52E-2</v>
      </c>
      <c r="G11" s="13">
        <v>1.77E-2</v>
      </c>
      <c r="H11" s="14">
        <v>1.2800000000000001E-2</v>
      </c>
    </row>
    <row r="12" spans="1:8" x14ac:dyDescent="0.25">
      <c r="A12" s="1" t="s">
        <v>45</v>
      </c>
      <c r="B12">
        <v>2008</v>
      </c>
      <c r="C12" s="12">
        <v>306.89999999999998</v>
      </c>
      <c r="D12">
        <v>358.9</v>
      </c>
      <c r="E12">
        <v>259.2</v>
      </c>
      <c r="F12" s="13">
        <v>1.55E-2</v>
      </c>
      <c r="G12" s="13">
        <v>1.8200000000000001E-2</v>
      </c>
      <c r="H12" s="14">
        <v>1.3100000000000001E-2</v>
      </c>
    </row>
    <row r="13" spans="1:8" x14ac:dyDescent="0.25">
      <c r="A13" s="1" t="s">
        <v>45</v>
      </c>
      <c r="B13">
        <v>2009</v>
      </c>
      <c r="C13" s="12">
        <v>315.39999999999998</v>
      </c>
      <c r="D13">
        <v>369.7</v>
      </c>
      <c r="E13">
        <v>266.10000000000002</v>
      </c>
      <c r="F13" s="13">
        <v>1.5900000000000001E-2</v>
      </c>
      <c r="G13" s="13">
        <v>1.8700000000000001E-2</v>
      </c>
      <c r="H13" s="14">
        <v>1.34E-2</v>
      </c>
    </row>
    <row r="14" spans="1:8" x14ac:dyDescent="0.25">
      <c r="A14" s="1" t="s">
        <v>45</v>
      </c>
      <c r="B14">
        <v>2010</v>
      </c>
      <c r="C14" s="12">
        <v>326.10000000000002</v>
      </c>
      <c r="D14">
        <v>383</v>
      </c>
      <c r="E14">
        <v>274.89999999999998</v>
      </c>
      <c r="F14" s="13">
        <v>1.6500000000000001E-2</v>
      </c>
      <c r="G14" s="13">
        <v>1.9300000000000001E-2</v>
      </c>
      <c r="H14" s="14">
        <v>1.3899999999999999E-2</v>
      </c>
    </row>
    <row r="15" spans="1:8" x14ac:dyDescent="0.25">
      <c r="A15" s="1" t="s">
        <v>45</v>
      </c>
      <c r="B15">
        <v>2011</v>
      </c>
      <c r="C15" s="12">
        <v>337.2</v>
      </c>
      <c r="D15">
        <v>396.1</v>
      </c>
      <c r="E15">
        <v>283.89999999999998</v>
      </c>
      <c r="F15" s="13">
        <v>1.7000000000000001E-2</v>
      </c>
      <c r="G15" s="13">
        <v>0.02</v>
      </c>
      <c r="H15" s="14">
        <v>1.43E-2</v>
      </c>
    </row>
    <row r="16" spans="1:8" x14ac:dyDescent="0.25">
      <c r="A16" s="1" t="s">
        <v>45</v>
      </c>
      <c r="B16">
        <v>2012</v>
      </c>
      <c r="C16" s="12">
        <v>348</v>
      </c>
      <c r="D16">
        <v>408</v>
      </c>
      <c r="E16">
        <v>292.60000000000002</v>
      </c>
      <c r="F16" s="13">
        <v>1.7500000000000002E-2</v>
      </c>
      <c r="G16" s="13">
        <v>2.06E-2</v>
      </c>
      <c r="H16" s="14">
        <v>1.47E-2</v>
      </c>
    </row>
    <row r="17" spans="1:8" x14ac:dyDescent="0.25">
      <c r="A17" s="1" t="s">
        <v>45</v>
      </c>
      <c r="B17">
        <v>2013</v>
      </c>
      <c r="C17" s="12">
        <v>357.9</v>
      </c>
      <c r="D17">
        <v>420</v>
      </c>
      <c r="E17">
        <v>301</v>
      </c>
      <c r="F17" s="13">
        <v>1.7999999999999999E-2</v>
      </c>
      <c r="G17" s="13">
        <v>2.12E-2</v>
      </c>
      <c r="H17" s="14">
        <v>1.52E-2</v>
      </c>
    </row>
    <row r="18" spans="1:8" x14ac:dyDescent="0.25">
      <c r="A18" s="1" t="s">
        <v>45</v>
      </c>
      <c r="B18">
        <v>2014</v>
      </c>
      <c r="C18" s="12">
        <v>368.1</v>
      </c>
      <c r="D18">
        <v>431.6</v>
      </c>
      <c r="E18">
        <v>309</v>
      </c>
      <c r="F18" s="13">
        <v>1.8499999999999999E-2</v>
      </c>
      <c r="G18" s="13">
        <v>2.1700000000000001E-2</v>
      </c>
      <c r="H18" s="14">
        <v>1.5599999999999999E-2</v>
      </c>
    </row>
    <row r="19" spans="1:8" x14ac:dyDescent="0.25">
      <c r="A19" s="1" t="s">
        <v>45</v>
      </c>
      <c r="B19">
        <v>2015</v>
      </c>
      <c r="C19" s="12">
        <v>378.5</v>
      </c>
      <c r="D19">
        <v>444.3</v>
      </c>
      <c r="E19">
        <v>318.39999999999998</v>
      </c>
      <c r="F19" s="13">
        <v>1.9099999999999999E-2</v>
      </c>
      <c r="G19" s="13">
        <v>2.24E-2</v>
      </c>
      <c r="H19" s="14">
        <v>1.6E-2</v>
      </c>
    </row>
    <row r="20" spans="1:8" x14ac:dyDescent="0.25">
      <c r="A20" s="1" t="s">
        <v>45</v>
      </c>
      <c r="B20">
        <v>2016</v>
      </c>
      <c r="C20" s="12">
        <v>389.1</v>
      </c>
      <c r="D20">
        <v>454.9</v>
      </c>
      <c r="E20">
        <v>327</v>
      </c>
      <c r="F20" s="13">
        <v>1.9599999999999999E-2</v>
      </c>
      <c r="G20" s="13">
        <v>2.29E-2</v>
      </c>
      <c r="H20" s="14">
        <v>1.6500000000000001E-2</v>
      </c>
    </row>
    <row r="21" spans="1:8" x14ac:dyDescent="0.25">
      <c r="A21" s="1" t="s">
        <v>45</v>
      </c>
      <c r="B21">
        <v>2017</v>
      </c>
      <c r="C21" s="12">
        <v>399.1</v>
      </c>
      <c r="D21">
        <v>466.1</v>
      </c>
      <c r="E21">
        <v>335.4</v>
      </c>
      <c r="F21" s="13">
        <v>2.01E-2</v>
      </c>
      <c r="G21" s="13">
        <v>2.35E-2</v>
      </c>
      <c r="H21" s="14">
        <v>1.6899999999999998E-2</v>
      </c>
    </row>
    <row r="22" spans="1:8" x14ac:dyDescent="0.25">
      <c r="A22" s="1" t="s">
        <v>45</v>
      </c>
      <c r="B22">
        <v>2018</v>
      </c>
      <c r="C22" s="12">
        <v>407.6</v>
      </c>
      <c r="D22">
        <v>475.5</v>
      </c>
      <c r="E22">
        <v>342.7</v>
      </c>
      <c r="F22" s="13">
        <v>2.0500000000000001E-2</v>
      </c>
      <c r="G22" s="13">
        <v>2.4E-2</v>
      </c>
      <c r="H22" s="14">
        <v>1.7299999999999999E-2</v>
      </c>
    </row>
    <row r="23" spans="1:8" x14ac:dyDescent="0.25">
      <c r="A23" s="1" t="s">
        <v>45</v>
      </c>
      <c r="B23">
        <v>2019</v>
      </c>
      <c r="C23" s="12">
        <v>415.1</v>
      </c>
      <c r="D23">
        <v>484.7</v>
      </c>
      <c r="E23">
        <v>348.5</v>
      </c>
      <c r="F23" s="13">
        <v>2.0899999999999998E-2</v>
      </c>
      <c r="G23" s="13">
        <v>2.4400000000000002E-2</v>
      </c>
      <c r="H23" s="14">
        <v>1.7600000000000001E-2</v>
      </c>
    </row>
    <row r="24" spans="1:8" x14ac:dyDescent="0.25">
      <c r="A24" s="1" t="s">
        <v>46</v>
      </c>
      <c r="B24">
        <v>2000</v>
      </c>
      <c r="C24" s="12">
        <v>94.1</v>
      </c>
      <c r="D24">
        <v>109.6</v>
      </c>
      <c r="E24">
        <v>78.3</v>
      </c>
      <c r="F24" s="13">
        <v>5.1000000000000004E-3</v>
      </c>
      <c r="G24" s="13">
        <v>5.8999999999999999E-3</v>
      </c>
      <c r="H24" s="14">
        <v>4.1999999999999997E-3</v>
      </c>
    </row>
    <row r="25" spans="1:8" x14ac:dyDescent="0.25">
      <c r="A25" s="1" t="s">
        <v>46</v>
      </c>
      <c r="B25">
        <v>2001</v>
      </c>
      <c r="C25" s="12">
        <v>96.2</v>
      </c>
      <c r="D25">
        <v>112</v>
      </c>
      <c r="E25">
        <v>80</v>
      </c>
      <c r="F25" s="13">
        <v>5.1999999999999998E-3</v>
      </c>
      <c r="G25" s="13">
        <v>6.0000000000000001E-3</v>
      </c>
      <c r="H25" s="14">
        <v>4.3E-3</v>
      </c>
    </row>
    <row r="26" spans="1:8" x14ac:dyDescent="0.25">
      <c r="A26" s="1" t="s">
        <v>46</v>
      </c>
      <c r="B26">
        <v>2002</v>
      </c>
      <c r="C26" s="12">
        <v>98.5</v>
      </c>
      <c r="D26">
        <v>114.6</v>
      </c>
      <c r="E26">
        <v>81.7</v>
      </c>
      <c r="F26" s="13">
        <v>5.3E-3</v>
      </c>
      <c r="G26" s="13">
        <v>6.1999999999999998E-3</v>
      </c>
      <c r="H26" s="14">
        <v>4.4000000000000003E-3</v>
      </c>
    </row>
    <row r="27" spans="1:8" x14ac:dyDescent="0.25">
      <c r="A27" s="1" t="s">
        <v>46</v>
      </c>
      <c r="B27">
        <v>2003</v>
      </c>
      <c r="C27" s="12">
        <v>100.7</v>
      </c>
      <c r="D27">
        <v>117.2</v>
      </c>
      <c r="E27">
        <v>83.5</v>
      </c>
      <c r="F27" s="13">
        <v>5.4000000000000003E-3</v>
      </c>
      <c r="G27" s="13">
        <v>6.3E-3</v>
      </c>
      <c r="H27" s="14">
        <v>4.4999999999999997E-3</v>
      </c>
    </row>
    <row r="28" spans="1:8" x14ac:dyDescent="0.25">
      <c r="A28" s="1" t="s">
        <v>46</v>
      </c>
      <c r="B28">
        <v>2004</v>
      </c>
      <c r="C28" s="12">
        <v>103.4</v>
      </c>
      <c r="D28">
        <v>120.5</v>
      </c>
      <c r="E28">
        <v>85.7</v>
      </c>
      <c r="F28" s="13">
        <v>5.5999999999999999E-3</v>
      </c>
      <c r="G28" s="13">
        <v>6.4999999999999997E-3</v>
      </c>
      <c r="H28" s="14">
        <v>4.5999999999999999E-3</v>
      </c>
    </row>
    <row r="29" spans="1:8" x14ac:dyDescent="0.25">
      <c r="A29" s="1" t="s">
        <v>46</v>
      </c>
      <c r="B29">
        <v>2005</v>
      </c>
      <c r="C29" s="12">
        <v>106.8</v>
      </c>
      <c r="D29">
        <v>124.5</v>
      </c>
      <c r="E29">
        <v>88.3</v>
      </c>
      <c r="F29" s="13">
        <v>5.7999999999999996E-3</v>
      </c>
      <c r="G29" s="13">
        <v>6.7000000000000002E-3</v>
      </c>
      <c r="H29" s="14">
        <v>4.7999999999999996E-3</v>
      </c>
    </row>
    <row r="30" spans="1:8" x14ac:dyDescent="0.25">
      <c r="A30" s="1" t="s">
        <v>46</v>
      </c>
      <c r="B30">
        <v>2006</v>
      </c>
      <c r="C30" s="12">
        <v>110.5</v>
      </c>
      <c r="D30">
        <v>129.19999999999999</v>
      </c>
      <c r="E30">
        <v>91.1</v>
      </c>
      <c r="F30" s="13">
        <v>6.0000000000000001E-3</v>
      </c>
      <c r="G30" s="13">
        <v>7.0000000000000001E-3</v>
      </c>
      <c r="H30" s="14">
        <v>4.8999999999999998E-3</v>
      </c>
    </row>
    <row r="31" spans="1:8" x14ac:dyDescent="0.25">
      <c r="A31" s="1" t="s">
        <v>46</v>
      </c>
      <c r="B31">
        <v>2007</v>
      </c>
      <c r="C31" s="12">
        <v>114.6</v>
      </c>
      <c r="D31">
        <v>134.1</v>
      </c>
      <c r="E31">
        <v>94.5</v>
      </c>
      <c r="F31" s="13">
        <v>6.1999999999999998E-3</v>
      </c>
      <c r="G31" s="13">
        <v>7.3000000000000001E-3</v>
      </c>
      <c r="H31" s="14">
        <v>5.1000000000000004E-3</v>
      </c>
    </row>
    <row r="32" spans="1:8" x14ac:dyDescent="0.25">
      <c r="A32" s="1" t="s">
        <v>46</v>
      </c>
      <c r="B32">
        <v>2008</v>
      </c>
      <c r="C32" s="12">
        <v>118.8</v>
      </c>
      <c r="D32">
        <v>139.30000000000001</v>
      </c>
      <c r="E32">
        <v>98.1</v>
      </c>
      <c r="F32" s="13">
        <v>6.4000000000000003E-3</v>
      </c>
      <c r="G32" s="13">
        <v>7.4999999999999997E-3</v>
      </c>
      <c r="H32" s="14">
        <v>5.3E-3</v>
      </c>
    </row>
    <row r="33" spans="1:8" x14ac:dyDescent="0.25">
      <c r="A33" s="1" t="s">
        <v>46</v>
      </c>
      <c r="B33">
        <v>2009</v>
      </c>
      <c r="C33" s="12">
        <v>123.4</v>
      </c>
      <c r="D33">
        <v>144.80000000000001</v>
      </c>
      <c r="E33">
        <v>102</v>
      </c>
      <c r="F33" s="13">
        <v>6.7000000000000002E-3</v>
      </c>
      <c r="G33" s="13">
        <v>7.7999999999999996E-3</v>
      </c>
      <c r="H33" s="14">
        <v>5.4999999999999997E-3</v>
      </c>
    </row>
    <row r="34" spans="1:8" x14ac:dyDescent="0.25">
      <c r="A34" s="1" t="s">
        <v>46</v>
      </c>
      <c r="B34">
        <v>2010</v>
      </c>
      <c r="C34" s="12">
        <v>128.4</v>
      </c>
      <c r="D34">
        <v>150.69999999999999</v>
      </c>
      <c r="E34">
        <v>106.1</v>
      </c>
      <c r="F34" s="13">
        <v>6.8999999999999999E-3</v>
      </c>
      <c r="G34" s="13">
        <v>8.0999999999999996E-3</v>
      </c>
      <c r="H34" s="14">
        <v>5.7000000000000002E-3</v>
      </c>
    </row>
    <row r="35" spans="1:8" x14ac:dyDescent="0.25">
      <c r="A35" s="1" t="s">
        <v>46</v>
      </c>
      <c r="B35">
        <v>2011</v>
      </c>
      <c r="C35" s="12">
        <v>133.4</v>
      </c>
      <c r="D35">
        <v>156.1</v>
      </c>
      <c r="E35">
        <v>110.1</v>
      </c>
      <c r="F35" s="13">
        <v>7.1999999999999998E-3</v>
      </c>
      <c r="G35" s="13">
        <v>8.3999999999999995E-3</v>
      </c>
      <c r="H35" s="14">
        <v>5.8999999999999999E-3</v>
      </c>
    </row>
    <row r="36" spans="1:8" x14ac:dyDescent="0.25">
      <c r="A36" s="1" t="s">
        <v>46</v>
      </c>
      <c r="B36">
        <v>2012</v>
      </c>
      <c r="C36" s="12">
        <v>138.19999999999999</v>
      </c>
      <c r="D36">
        <v>161.4</v>
      </c>
      <c r="E36">
        <v>113.8</v>
      </c>
      <c r="F36" s="13">
        <v>7.4000000000000003E-3</v>
      </c>
      <c r="G36" s="13">
        <v>8.6999999999999994E-3</v>
      </c>
      <c r="H36" s="14">
        <v>6.1000000000000004E-3</v>
      </c>
    </row>
    <row r="37" spans="1:8" x14ac:dyDescent="0.25">
      <c r="A37" s="1" t="s">
        <v>46</v>
      </c>
      <c r="B37">
        <v>2013</v>
      </c>
      <c r="C37" s="12">
        <v>142.69999999999999</v>
      </c>
      <c r="D37">
        <v>166.5</v>
      </c>
      <c r="E37">
        <v>117.5</v>
      </c>
      <c r="F37" s="13">
        <v>7.7000000000000002E-3</v>
      </c>
      <c r="G37" s="13">
        <v>8.8999999999999999E-3</v>
      </c>
      <c r="H37" s="14">
        <v>6.3E-3</v>
      </c>
    </row>
    <row r="38" spans="1:8" x14ac:dyDescent="0.25">
      <c r="A38" s="1" t="s">
        <v>46</v>
      </c>
      <c r="B38">
        <v>2014</v>
      </c>
      <c r="C38" s="12">
        <v>147.30000000000001</v>
      </c>
      <c r="D38">
        <v>172.1</v>
      </c>
      <c r="E38">
        <v>121.7</v>
      </c>
      <c r="F38" s="13">
        <v>7.9000000000000008E-3</v>
      </c>
      <c r="G38" s="13">
        <v>9.1999999999999998E-3</v>
      </c>
      <c r="H38" s="14">
        <v>6.4999999999999997E-3</v>
      </c>
    </row>
    <row r="39" spans="1:8" x14ac:dyDescent="0.25">
      <c r="A39" s="1" t="s">
        <v>46</v>
      </c>
      <c r="B39">
        <v>2015</v>
      </c>
      <c r="C39" s="12">
        <v>152</v>
      </c>
      <c r="D39">
        <v>177.5</v>
      </c>
      <c r="E39">
        <v>125.3</v>
      </c>
      <c r="F39" s="13">
        <v>8.2000000000000007E-3</v>
      </c>
      <c r="G39" s="13">
        <v>9.4999999999999998E-3</v>
      </c>
      <c r="H39" s="14">
        <v>6.7000000000000002E-3</v>
      </c>
    </row>
    <row r="40" spans="1:8" x14ac:dyDescent="0.25">
      <c r="A40" s="1" t="s">
        <v>46</v>
      </c>
      <c r="B40">
        <v>2016</v>
      </c>
      <c r="C40" s="12">
        <v>156.5</v>
      </c>
      <c r="D40">
        <v>183.1</v>
      </c>
      <c r="E40">
        <v>129.30000000000001</v>
      </c>
      <c r="F40" s="13">
        <v>8.3999999999999995E-3</v>
      </c>
      <c r="G40" s="13">
        <v>9.7999999999999997E-3</v>
      </c>
      <c r="H40" s="14">
        <v>6.8999999999999999E-3</v>
      </c>
    </row>
    <row r="41" spans="1:8" x14ac:dyDescent="0.25">
      <c r="A41" s="1" t="s">
        <v>46</v>
      </c>
      <c r="B41">
        <v>2017</v>
      </c>
      <c r="C41" s="12">
        <v>160.9</v>
      </c>
      <c r="D41">
        <v>188.5</v>
      </c>
      <c r="E41">
        <v>133.1</v>
      </c>
      <c r="F41" s="13">
        <v>8.6E-3</v>
      </c>
      <c r="G41" s="13">
        <v>1.01E-2</v>
      </c>
      <c r="H41" s="14">
        <v>7.1000000000000004E-3</v>
      </c>
    </row>
    <row r="42" spans="1:8" x14ac:dyDescent="0.25">
      <c r="A42" s="1" t="s">
        <v>46</v>
      </c>
      <c r="B42">
        <v>2018</v>
      </c>
      <c r="C42" s="12">
        <v>165.6</v>
      </c>
      <c r="D42">
        <v>194</v>
      </c>
      <c r="E42">
        <v>136.6</v>
      </c>
      <c r="F42" s="13">
        <v>8.8999999999999999E-3</v>
      </c>
      <c r="G42" s="13">
        <v>1.04E-2</v>
      </c>
      <c r="H42" s="14">
        <v>7.3000000000000001E-3</v>
      </c>
    </row>
    <row r="43" spans="1:8" x14ac:dyDescent="0.25">
      <c r="A43" s="6" t="s">
        <v>46</v>
      </c>
      <c r="B43" s="8">
        <v>2019</v>
      </c>
      <c r="C43" s="15">
        <v>170.8</v>
      </c>
      <c r="D43" s="8">
        <v>199.8</v>
      </c>
      <c r="E43" s="8">
        <v>140.5</v>
      </c>
      <c r="F43" s="16">
        <v>9.1999999999999998E-3</v>
      </c>
      <c r="G43" s="16">
        <v>1.0699999999999999E-2</v>
      </c>
      <c r="H43" s="17">
        <v>7.4999999999999997E-3</v>
      </c>
    </row>
    <row r="45" spans="1:8" x14ac:dyDescent="0.25">
      <c r="A45" t="s">
        <v>37</v>
      </c>
    </row>
    <row r="47" spans="1:8" x14ac:dyDescent="0.25">
      <c r="A47" t="s">
        <v>38</v>
      </c>
    </row>
    <row r="49" spans="1:1" x14ac:dyDescent="0.25">
      <c r="A4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/>
  </sheetViews>
  <sheetFormatPr defaultColWidth="11.42578125" defaultRowHeight="15" x14ac:dyDescent="0.25"/>
  <cols>
    <col min="1" max="1" width="6.7109375" customWidth="1"/>
    <col min="2" max="2" width="34.7109375" customWidth="1"/>
  </cols>
  <sheetData>
    <row r="1" spans="1:2" x14ac:dyDescent="0.25">
      <c r="A1" t="s">
        <v>234</v>
      </c>
    </row>
    <row r="3" spans="1:2" x14ac:dyDescent="0.25">
      <c r="A3" s="4" t="s">
        <v>2</v>
      </c>
      <c r="B3" s="5" t="s">
        <v>235</v>
      </c>
    </row>
    <row r="4" spans="1:2" x14ac:dyDescent="0.25">
      <c r="A4" s="1">
        <v>2014</v>
      </c>
      <c r="B4" s="66">
        <v>33.700000000000003</v>
      </c>
    </row>
    <row r="5" spans="1:2" x14ac:dyDescent="0.25">
      <c r="A5" s="1">
        <v>2015</v>
      </c>
      <c r="B5" s="66">
        <v>35.799999999999997</v>
      </c>
    </row>
    <row r="6" spans="1:2" x14ac:dyDescent="0.25">
      <c r="A6" s="1">
        <v>2016</v>
      </c>
      <c r="B6" s="66">
        <v>39.4</v>
      </c>
    </row>
    <row r="7" spans="1:2" x14ac:dyDescent="0.25">
      <c r="A7" s="1">
        <v>2017</v>
      </c>
      <c r="B7" s="66">
        <v>40.200000000000003</v>
      </c>
    </row>
    <row r="8" spans="1:2" x14ac:dyDescent="0.25">
      <c r="A8" s="1">
        <v>2018</v>
      </c>
      <c r="B8" s="66">
        <v>40.799999999999997</v>
      </c>
    </row>
    <row r="9" spans="1:2" x14ac:dyDescent="0.25">
      <c r="A9" s="1">
        <v>2019</v>
      </c>
      <c r="B9" s="66">
        <v>41</v>
      </c>
    </row>
    <row r="10" spans="1:2" x14ac:dyDescent="0.25">
      <c r="A10" s="1">
        <v>2020</v>
      </c>
      <c r="B10" s="66">
        <v>30.4</v>
      </c>
    </row>
    <row r="11" spans="1:2" x14ac:dyDescent="0.25">
      <c r="A11" s="1">
        <v>2021</v>
      </c>
      <c r="B11" s="66">
        <v>39</v>
      </c>
    </row>
    <row r="12" spans="1:2" x14ac:dyDescent="0.25">
      <c r="A12" s="6">
        <v>2022</v>
      </c>
      <c r="B12" s="67">
        <v>40.700000000000003</v>
      </c>
    </row>
    <row r="14" spans="1:2" x14ac:dyDescent="0.25">
      <c r="A14" t="s">
        <v>73</v>
      </c>
    </row>
    <row r="21" spans="1:1" x14ac:dyDescent="0.25">
      <c r="A21" t="s">
        <v>211</v>
      </c>
    </row>
    <row r="22" spans="1:1" x14ac:dyDescent="0.25">
      <c r="A22" t="s">
        <v>236</v>
      </c>
    </row>
    <row r="24" spans="1:1" x14ac:dyDescent="0.25">
      <c r="A24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/>
  </sheetViews>
  <sheetFormatPr defaultColWidth="11.42578125" defaultRowHeight="15" x14ac:dyDescent="0.25"/>
  <cols>
    <col min="1" max="1" width="6.7109375" customWidth="1"/>
    <col min="2" max="2" width="12.7109375" customWidth="1"/>
    <col min="3" max="3" width="18.7109375" customWidth="1"/>
  </cols>
  <sheetData>
    <row r="1" spans="1:3" x14ac:dyDescent="0.25">
      <c r="A1" t="s">
        <v>237</v>
      </c>
    </row>
    <row r="3" spans="1:3" x14ac:dyDescent="0.25">
      <c r="A3" s="4" t="s">
        <v>2</v>
      </c>
      <c r="B3" s="3" t="s">
        <v>238</v>
      </c>
      <c r="C3" s="5" t="s">
        <v>239</v>
      </c>
    </row>
    <row r="4" spans="1:3" x14ac:dyDescent="0.25">
      <c r="A4" s="1">
        <v>2014</v>
      </c>
      <c r="B4">
        <v>18.21</v>
      </c>
      <c r="C4" s="32">
        <v>24.53</v>
      </c>
    </row>
    <row r="5" spans="1:3" x14ac:dyDescent="0.25">
      <c r="A5" s="1">
        <v>2015</v>
      </c>
      <c r="B5">
        <v>18.61</v>
      </c>
      <c r="C5" s="32">
        <v>22.08</v>
      </c>
    </row>
    <row r="6" spans="1:3" x14ac:dyDescent="0.25">
      <c r="A6" s="1">
        <v>2016</v>
      </c>
      <c r="B6">
        <v>23.84</v>
      </c>
      <c r="C6" s="32">
        <v>17.02</v>
      </c>
    </row>
    <row r="7" spans="1:3" x14ac:dyDescent="0.25">
      <c r="A7" s="1">
        <v>2017</v>
      </c>
      <c r="B7">
        <v>39.479999999999997</v>
      </c>
      <c r="C7" s="32">
        <v>8.2200000000000006</v>
      </c>
    </row>
    <row r="8" spans="1:3" x14ac:dyDescent="0.25">
      <c r="A8" s="1">
        <v>2018</v>
      </c>
      <c r="B8">
        <v>43.35</v>
      </c>
      <c r="C8" s="32">
        <v>7.97</v>
      </c>
    </row>
    <row r="9" spans="1:3" x14ac:dyDescent="0.25">
      <c r="A9" s="1">
        <v>2019</v>
      </c>
      <c r="B9">
        <v>44.33</v>
      </c>
      <c r="C9" s="32">
        <v>8.0299999999999994</v>
      </c>
    </row>
    <row r="10" spans="1:3" x14ac:dyDescent="0.25">
      <c r="A10" s="1">
        <v>2020</v>
      </c>
      <c r="B10">
        <v>43.67</v>
      </c>
      <c r="C10" s="32">
        <v>7.87</v>
      </c>
    </row>
    <row r="11" spans="1:3" x14ac:dyDescent="0.25">
      <c r="A11" s="1">
        <v>2021</v>
      </c>
      <c r="B11">
        <v>42.2</v>
      </c>
      <c r="C11" s="32">
        <v>7.86</v>
      </c>
    </row>
    <row r="12" spans="1:3" x14ac:dyDescent="0.25">
      <c r="A12" s="6">
        <v>2022</v>
      </c>
      <c r="B12" s="8">
        <v>42.37</v>
      </c>
      <c r="C12" s="33">
        <v>7.81</v>
      </c>
    </row>
    <row r="14" spans="1:3" x14ac:dyDescent="0.25">
      <c r="A14" t="s">
        <v>73</v>
      </c>
    </row>
    <row r="26" spans="1:1" x14ac:dyDescent="0.25">
      <c r="A26" t="s">
        <v>211</v>
      </c>
    </row>
    <row r="28" spans="1:1" x14ac:dyDescent="0.25">
      <c r="A28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/>
  </sheetViews>
  <sheetFormatPr defaultColWidth="11.42578125" defaultRowHeight="15" x14ac:dyDescent="0.25"/>
  <cols>
    <col min="1" max="1" width="6.7109375" customWidth="1"/>
    <col min="2" max="2" width="12.7109375" customWidth="1"/>
    <col min="3" max="3" width="18.7109375" customWidth="1"/>
  </cols>
  <sheetData>
    <row r="1" spans="1:3" x14ac:dyDescent="0.25">
      <c r="A1" t="s">
        <v>240</v>
      </c>
    </row>
    <row r="3" spans="1:3" x14ac:dyDescent="0.25">
      <c r="A3" s="4" t="s">
        <v>2</v>
      </c>
      <c r="B3" s="3" t="s">
        <v>238</v>
      </c>
      <c r="C3" s="5" t="s">
        <v>239</v>
      </c>
    </row>
    <row r="4" spans="1:3" x14ac:dyDescent="0.25">
      <c r="A4" s="1">
        <v>2014</v>
      </c>
      <c r="B4" s="129">
        <v>119.48</v>
      </c>
      <c r="C4" s="130">
        <v>160.88999999999999</v>
      </c>
    </row>
    <row r="5" spans="1:3" x14ac:dyDescent="0.25">
      <c r="A5" s="1">
        <v>2015</v>
      </c>
      <c r="B5" s="129">
        <v>116.87</v>
      </c>
      <c r="C5" s="130">
        <v>138.6</v>
      </c>
    </row>
    <row r="6" spans="1:3" x14ac:dyDescent="0.25">
      <c r="A6" s="1">
        <v>2016</v>
      </c>
      <c r="B6" s="129">
        <v>113.99</v>
      </c>
      <c r="C6" s="130">
        <v>81.36</v>
      </c>
    </row>
    <row r="7" spans="1:3" x14ac:dyDescent="0.25">
      <c r="A7" s="1">
        <v>2017</v>
      </c>
      <c r="B7" s="129">
        <v>193.83</v>
      </c>
      <c r="C7" s="130">
        <v>40.380000000000003</v>
      </c>
    </row>
    <row r="8" spans="1:3" x14ac:dyDescent="0.25">
      <c r="A8" s="1">
        <v>2018</v>
      </c>
      <c r="B8" s="129">
        <v>197.37</v>
      </c>
      <c r="C8" s="130">
        <v>36.28</v>
      </c>
    </row>
    <row r="9" spans="1:3" x14ac:dyDescent="0.25">
      <c r="A9" s="1">
        <v>2019</v>
      </c>
      <c r="B9" s="129">
        <v>191.89</v>
      </c>
      <c r="C9" s="130">
        <v>34.76</v>
      </c>
    </row>
    <row r="10" spans="1:3" x14ac:dyDescent="0.25">
      <c r="A10" s="1">
        <v>2020</v>
      </c>
      <c r="B10" s="129">
        <v>219.51</v>
      </c>
      <c r="C10" s="130">
        <v>39.54</v>
      </c>
    </row>
    <row r="11" spans="1:3" x14ac:dyDescent="0.25">
      <c r="A11" s="1">
        <v>2021</v>
      </c>
      <c r="B11" s="129">
        <v>210.99</v>
      </c>
      <c r="C11" s="130">
        <v>39.299999999999997</v>
      </c>
    </row>
    <row r="12" spans="1:3" x14ac:dyDescent="0.25">
      <c r="A12" s="6">
        <v>2022</v>
      </c>
      <c r="B12" s="131">
        <v>209.17</v>
      </c>
      <c r="C12" s="132">
        <v>38.549999999999997</v>
      </c>
    </row>
    <row r="14" spans="1:3" x14ac:dyDescent="0.25">
      <c r="A14" t="s">
        <v>73</v>
      </c>
    </row>
    <row r="26" spans="1:1" x14ac:dyDescent="0.25">
      <c r="A26" t="s">
        <v>211</v>
      </c>
    </row>
    <row r="28" spans="1:1" x14ac:dyDescent="0.25">
      <c r="A28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ColWidth="11.42578125" defaultRowHeight="15" x14ac:dyDescent="0.25"/>
  <cols>
    <col min="1" max="1" width="6.7109375" customWidth="1"/>
    <col min="2" max="2" width="31.7109375" customWidth="1"/>
    <col min="3" max="3" width="27.7109375" customWidth="1"/>
    <col min="4" max="4" width="26.7109375" customWidth="1"/>
    <col min="5" max="5" width="20.7109375" customWidth="1"/>
  </cols>
  <sheetData>
    <row r="1" spans="1:5" x14ac:dyDescent="0.25">
      <c r="A1" t="s">
        <v>241</v>
      </c>
    </row>
    <row r="3" spans="1:5" x14ac:dyDescent="0.25">
      <c r="A3" s="4" t="s">
        <v>2</v>
      </c>
      <c r="B3" s="3" t="s">
        <v>242</v>
      </c>
      <c r="C3" s="3" t="s">
        <v>243</v>
      </c>
      <c r="D3" s="3" t="s">
        <v>244</v>
      </c>
      <c r="E3" s="5" t="s">
        <v>245</v>
      </c>
    </row>
    <row r="4" spans="1:5" x14ac:dyDescent="0.25">
      <c r="A4" s="1">
        <v>2014</v>
      </c>
      <c r="B4" s="115">
        <v>18.2</v>
      </c>
      <c r="C4" s="115">
        <v>24.5</v>
      </c>
      <c r="D4" s="68">
        <v>745</v>
      </c>
      <c r="E4" s="69">
        <v>20.7</v>
      </c>
    </row>
    <row r="5" spans="1:5" x14ac:dyDescent="0.25">
      <c r="A5" s="1">
        <v>2015</v>
      </c>
      <c r="B5" s="115">
        <v>18.600000000000001</v>
      </c>
      <c r="C5" s="115">
        <v>22.1</v>
      </c>
      <c r="D5" s="68">
        <v>778.3</v>
      </c>
      <c r="E5" s="69">
        <v>21.9</v>
      </c>
    </row>
    <row r="6" spans="1:5" x14ac:dyDescent="0.25">
      <c r="A6" s="1">
        <v>2016</v>
      </c>
      <c r="B6" s="115">
        <v>23.8</v>
      </c>
      <c r="C6" s="115">
        <v>17</v>
      </c>
      <c r="D6" s="68">
        <v>840.5</v>
      </c>
      <c r="E6" s="69">
        <v>23.8</v>
      </c>
    </row>
    <row r="7" spans="1:5" x14ac:dyDescent="0.25">
      <c r="A7" s="1">
        <v>2017</v>
      </c>
      <c r="B7" s="115">
        <v>39.5</v>
      </c>
      <c r="C7" s="115">
        <v>8.1999999999999993</v>
      </c>
      <c r="D7" s="68">
        <v>922.5</v>
      </c>
      <c r="E7" s="69">
        <v>26.5</v>
      </c>
    </row>
    <row r="8" spans="1:5" x14ac:dyDescent="0.25">
      <c r="A8" s="1">
        <v>2018</v>
      </c>
      <c r="B8" s="115">
        <v>43.3</v>
      </c>
      <c r="C8" s="115">
        <v>8</v>
      </c>
      <c r="D8" s="68">
        <v>971.8</v>
      </c>
      <c r="E8" s="69">
        <v>28.2</v>
      </c>
    </row>
    <row r="9" spans="1:5" x14ac:dyDescent="0.25">
      <c r="A9" s="1">
        <v>2019</v>
      </c>
      <c r="B9" s="115">
        <v>44.3</v>
      </c>
      <c r="C9" s="115">
        <v>8</v>
      </c>
      <c r="D9" s="68">
        <v>1008.8</v>
      </c>
      <c r="E9" s="69">
        <v>29.6</v>
      </c>
    </row>
    <row r="10" spans="1:5" x14ac:dyDescent="0.25">
      <c r="A10" s="1">
        <v>2020</v>
      </c>
      <c r="B10" s="115">
        <v>43.7</v>
      </c>
      <c r="C10" s="115">
        <v>7.9</v>
      </c>
      <c r="D10" s="68">
        <v>972.6</v>
      </c>
      <c r="E10" s="69">
        <v>29</v>
      </c>
    </row>
    <row r="11" spans="1:5" x14ac:dyDescent="0.25">
      <c r="A11" s="1">
        <v>2021</v>
      </c>
      <c r="B11" s="115">
        <v>42.2</v>
      </c>
      <c r="C11" s="115">
        <v>7.9</v>
      </c>
      <c r="D11" s="68">
        <v>949.3</v>
      </c>
      <c r="E11" s="69">
        <v>28</v>
      </c>
    </row>
    <row r="12" spans="1:5" x14ac:dyDescent="0.25">
      <c r="A12" s="6">
        <v>2022</v>
      </c>
      <c r="B12" s="116">
        <v>42.4</v>
      </c>
      <c r="C12" s="116">
        <v>7.8</v>
      </c>
      <c r="D12" s="70">
        <v>964.1</v>
      </c>
      <c r="E12" s="71">
        <v>28.6</v>
      </c>
    </row>
    <row r="14" spans="1:5" x14ac:dyDescent="0.25">
      <c r="A14" t="s">
        <v>73</v>
      </c>
    </row>
    <row r="16" spans="1:5" x14ac:dyDescent="0.25">
      <c r="A16" t="s">
        <v>211</v>
      </c>
    </row>
    <row r="18" spans="1:1" x14ac:dyDescent="0.25">
      <c r="A18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  <col min="3" max="3" width="31.7109375" customWidth="1"/>
    <col min="4" max="4" width="26.7109375" customWidth="1"/>
    <col min="5" max="5" width="20.7109375" customWidth="1"/>
  </cols>
  <sheetData>
    <row r="1" spans="1:5" x14ac:dyDescent="0.25">
      <c r="A1" t="s">
        <v>246</v>
      </c>
    </row>
    <row r="3" spans="1:5" x14ac:dyDescent="0.25">
      <c r="A3" s="4" t="s">
        <v>2</v>
      </c>
      <c r="B3" s="3" t="s">
        <v>210</v>
      </c>
      <c r="C3" s="3" t="s">
        <v>242</v>
      </c>
      <c r="D3" s="3" t="s">
        <v>244</v>
      </c>
      <c r="E3" s="5" t="s">
        <v>245</v>
      </c>
    </row>
    <row r="4" spans="1:5" x14ac:dyDescent="0.25">
      <c r="A4" s="1">
        <v>2016</v>
      </c>
      <c r="B4" s="72">
        <v>45.7</v>
      </c>
      <c r="C4" s="115">
        <v>8.3000000000000007</v>
      </c>
      <c r="D4" s="72">
        <v>158.30000000000001</v>
      </c>
      <c r="E4" s="73">
        <v>4.5</v>
      </c>
    </row>
    <row r="5" spans="1:5" x14ac:dyDescent="0.25">
      <c r="A5" s="1">
        <v>2017</v>
      </c>
      <c r="B5" s="72">
        <v>69.8</v>
      </c>
      <c r="C5" s="115">
        <v>30.8</v>
      </c>
      <c r="D5" s="72">
        <v>561.20000000000005</v>
      </c>
      <c r="E5" s="73">
        <v>16</v>
      </c>
    </row>
    <row r="6" spans="1:5" x14ac:dyDescent="0.25">
      <c r="A6" s="1">
        <v>2018</v>
      </c>
      <c r="B6" s="72">
        <v>75.5</v>
      </c>
      <c r="C6" s="115">
        <v>34.799999999999997</v>
      </c>
      <c r="D6" s="72">
        <v>620.5</v>
      </c>
      <c r="E6" s="73">
        <v>17.899999999999999</v>
      </c>
    </row>
    <row r="7" spans="1:5" x14ac:dyDescent="0.25">
      <c r="A7" s="1">
        <v>2019</v>
      </c>
      <c r="B7" s="72">
        <v>78.900000000000006</v>
      </c>
      <c r="C7" s="115">
        <v>36.1</v>
      </c>
      <c r="D7" s="72">
        <v>653.1</v>
      </c>
      <c r="E7" s="73">
        <v>19</v>
      </c>
    </row>
    <row r="8" spans="1:5" x14ac:dyDescent="0.25">
      <c r="A8" s="1">
        <v>2020</v>
      </c>
      <c r="B8" s="72">
        <v>73.7</v>
      </c>
      <c r="C8" s="115">
        <v>36</v>
      </c>
      <c r="D8" s="72">
        <v>643.1</v>
      </c>
      <c r="E8" s="73">
        <v>19</v>
      </c>
    </row>
    <row r="9" spans="1:5" x14ac:dyDescent="0.25">
      <c r="A9" s="1">
        <v>2021</v>
      </c>
      <c r="B9" s="72">
        <v>76.400000000000006</v>
      </c>
      <c r="C9" s="115">
        <v>35</v>
      </c>
      <c r="D9" s="72">
        <v>630.5</v>
      </c>
      <c r="E9" s="73">
        <v>18.5</v>
      </c>
    </row>
    <row r="10" spans="1:5" x14ac:dyDescent="0.25">
      <c r="A10" s="6">
        <v>2022</v>
      </c>
      <c r="B10" s="74">
        <v>79.900000000000006</v>
      </c>
      <c r="C10" s="116">
        <v>35.5</v>
      </c>
      <c r="D10" s="74">
        <v>652</v>
      </c>
      <c r="E10" s="75">
        <v>19.2</v>
      </c>
    </row>
    <row r="12" spans="1:5" x14ac:dyDescent="0.25">
      <c r="A12" t="s">
        <v>73</v>
      </c>
    </row>
    <row r="14" spans="1:5" x14ac:dyDescent="0.25">
      <c r="A14" t="s">
        <v>211</v>
      </c>
    </row>
    <row r="16" spans="1:5" x14ac:dyDescent="0.25">
      <c r="A16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11.42578125" defaultRowHeight="15" x14ac:dyDescent="0.25"/>
  <cols>
    <col min="1" max="1" width="21.7109375" customWidth="1"/>
    <col min="2" max="2" width="40.7109375" customWidth="1"/>
  </cols>
  <sheetData>
    <row r="1" spans="1:2" x14ac:dyDescent="0.25">
      <c r="A1" t="s">
        <v>247</v>
      </c>
    </row>
    <row r="3" spans="1:2" x14ac:dyDescent="0.25">
      <c r="A3" s="4" t="s">
        <v>78</v>
      </c>
      <c r="B3" s="5" t="s">
        <v>248</v>
      </c>
    </row>
    <row r="4" spans="1:2" x14ac:dyDescent="0.25">
      <c r="A4" s="1" t="s">
        <v>216</v>
      </c>
      <c r="B4" s="130">
        <v>216.65</v>
      </c>
    </row>
    <row r="5" spans="1:2" x14ac:dyDescent="0.25">
      <c r="A5" s="1" t="s">
        <v>217</v>
      </c>
      <c r="B5" s="130">
        <v>285.52</v>
      </c>
    </row>
    <row r="6" spans="1:2" x14ac:dyDescent="0.25">
      <c r="A6" s="1" t="s">
        <v>218</v>
      </c>
      <c r="B6" s="130">
        <v>210.7</v>
      </c>
    </row>
    <row r="7" spans="1:2" x14ac:dyDescent="0.25">
      <c r="A7" s="1" t="s">
        <v>219</v>
      </c>
      <c r="B7" s="130">
        <v>224.35</v>
      </c>
    </row>
    <row r="8" spans="1:2" x14ac:dyDescent="0.25">
      <c r="A8" s="1" t="s">
        <v>220</v>
      </c>
      <c r="B8" s="130">
        <v>204.16</v>
      </c>
    </row>
    <row r="9" spans="1:2" x14ac:dyDescent="0.25">
      <c r="A9" s="1" t="s">
        <v>221</v>
      </c>
      <c r="B9" s="130">
        <v>227.91</v>
      </c>
    </row>
    <row r="10" spans="1:2" x14ac:dyDescent="0.25">
      <c r="A10" s="1" t="s">
        <v>222</v>
      </c>
      <c r="B10" s="130">
        <v>243.73</v>
      </c>
    </row>
    <row r="11" spans="1:2" x14ac:dyDescent="0.25">
      <c r="A11" s="1" t="s">
        <v>223</v>
      </c>
      <c r="B11" s="130">
        <v>165.38</v>
      </c>
    </row>
    <row r="12" spans="1:2" x14ac:dyDescent="0.25">
      <c r="A12" s="1" t="s">
        <v>224</v>
      </c>
      <c r="B12" s="130">
        <v>189.28</v>
      </c>
    </row>
    <row r="13" spans="1:2" x14ac:dyDescent="0.25">
      <c r="A13" s="1" t="s">
        <v>225</v>
      </c>
      <c r="B13" s="130">
        <v>262.41000000000003</v>
      </c>
    </row>
    <row r="14" spans="1:2" x14ac:dyDescent="0.25">
      <c r="A14" s="1" t="s">
        <v>226</v>
      </c>
      <c r="B14" s="130">
        <v>183.6</v>
      </c>
    </row>
    <row r="15" spans="1:2" x14ac:dyDescent="0.25">
      <c r="A15" s="1" t="s">
        <v>227</v>
      </c>
      <c r="B15" s="130">
        <v>197.13</v>
      </c>
    </row>
    <row r="16" spans="1:2" x14ac:dyDescent="0.25">
      <c r="A16" s="1" t="s">
        <v>228</v>
      </c>
      <c r="B16" s="130">
        <v>187.56</v>
      </c>
    </row>
    <row r="17" spans="1:2" x14ac:dyDescent="0.25">
      <c r="A17" s="1" t="s">
        <v>229</v>
      </c>
      <c r="B17" s="130">
        <v>251.7</v>
      </c>
    </row>
    <row r="18" spans="1:2" x14ac:dyDescent="0.25">
      <c r="A18" s="1" t="s">
        <v>230</v>
      </c>
      <c r="B18" s="130">
        <v>187.82</v>
      </c>
    </row>
    <row r="19" spans="1:2" x14ac:dyDescent="0.25">
      <c r="A19" s="6" t="s">
        <v>231</v>
      </c>
      <c r="B19" s="132">
        <v>259.63</v>
      </c>
    </row>
    <row r="21" spans="1:2" x14ac:dyDescent="0.25">
      <c r="A21" t="s">
        <v>73</v>
      </c>
    </row>
    <row r="23" spans="1:2" x14ac:dyDescent="0.25">
      <c r="A23" t="s">
        <v>211</v>
      </c>
    </row>
    <row r="25" spans="1:2" x14ac:dyDescent="0.25">
      <c r="A25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/>
  </sheetViews>
  <sheetFormatPr defaultColWidth="11.42578125" defaultRowHeight="15" x14ac:dyDescent="0.25"/>
  <cols>
    <col min="1" max="1" width="6.7109375" customWidth="1"/>
    <col min="2" max="3" width="27.7109375" customWidth="1"/>
  </cols>
  <sheetData>
    <row r="1" spans="1:3" x14ac:dyDescent="0.25">
      <c r="A1" t="s">
        <v>249</v>
      </c>
    </row>
    <row r="3" spans="1:3" x14ac:dyDescent="0.25">
      <c r="A3" s="4" t="s">
        <v>2</v>
      </c>
      <c r="B3" s="3" t="s">
        <v>250</v>
      </c>
      <c r="C3" s="5" t="s">
        <v>210</v>
      </c>
    </row>
    <row r="4" spans="1:3" x14ac:dyDescent="0.25">
      <c r="A4" s="1">
        <v>2014</v>
      </c>
      <c r="B4" t="s">
        <v>251</v>
      </c>
      <c r="C4" s="76">
        <v>28</v>
      </c>
    </row>
    <row r="5" spans="1:3" x14ac:dyDescent="0.25">
      <c r="A5" s="1">
        <v>2014</v>
      </c>
      <c r="B5" t="s">
        <v>252</v>
      </c>
      <c r="C5" s="76">
        <v>69</v>
      </c>
    </row>
    <row r="6" spans="1:3" x14ac:dyDescent="0.25">
      <c r="A6" s="1">
        <v>2015</v>
      </c>
      <c r="B6" t="s">
        <v>251</v>
      </c>
      <c r="C6" s="76">
        <v>28.6</v>
      </c>
    </row>
    <row r="7" spans="1:3" x14ac:dyDescent="0.25">
      <c r="A7" s="1">
        <v>2015</v>
      </c>
      <c r="B7" t="s">
        <v>252</v>
      </c>
      <c r="C7" s="76">
        <v>73.400000000000006</v>
      </c>
    </row>
    <row r="8" spans="1:3" x14ac:dyDescent="0.25">
      <c r="A8" s="1">
        <v>2016</v>
      </c>
      <c r="B8" t="s">
        <v>251</v>
      </c>
      <c r="C8" s="76">
        <v>31.7</v>
      </c>
    </row>
    <row r="9" spans="1:3" x14ac:dyDescent="0.25">
      <c r="A9" s="1">
        <v>2016</v>
      </c>
      <c r="B9" t="s">
        <v>252</v>
      </c>
      <c r="C9" s="76">
        <v>78.8</v>
      </c>
    </row>
    <row r="10" spans="1:3" x14ac:dyDescent="0.25">
      <c r="A10" s="1">
        <v>2017</v>
      </c>
      <c r="B10" t="s">
        <v>251</v>
      </c>
      <c r="C10" s="76">
        <v>34.9</v>
      </c>
    </row>
    <row r="11" spans="1:3" x14ac:dyDescent="0.25">
      <c r="A11" s="1">
        <v>2017</v>
      </c>
      <c r="B11" t="s">
        <v>252</v>
      </c>
      <c r="C11" s="76">
        <v>83.3</v>
      </c>
    </row>
    <row r="12" spans="1:3" x14ac:dyDescent="0.25">
      <c r="A12" s="1">
        <v>2018</v>
      </c>
      <c r="B12" t="s">
        <v>251</v>
      </c>
      <c r="C12" s="76">
        <v>37.299999999999997</v>
      </c>
    </row>
    <row r="13" spans="1:3" x14ac:dyDescent="0.25">
      <c r="A13" s="1">
        <v>2018</v>
      </c>
      <c r="B13" t="s">
        <v>252</v>
      </c>
      <c r="C13" s="76">
        <v>86.9</v>
      </c>
    </row>
    <row r="14" spans="1:3" x14ac:dyDescent="0.25">
      <c r="A14" s="1">
        <v>2019</v>
      </c>
      <c r="B14" t="s">
        <v>251</v>
      </c>
      <c r="C14" s="76">
        <v>38.5</v>
      </c>
    </row>
    <row r="15" spans="1:3" x14ac:dyDescent="0.25">
      <c r="A15" s="1">
        <v>2019</v>
      </c>
      <c r="B15" t="s">
        <v>252</v>
      </c>
      <c r="C15" s="76">
        <v>89.9</v>
      </c>
    </row>
    <row r="16" spans="1:3" x14ac:dyDescent="0.25">
      <c r="A16" s="1">
        <v>2020</v>
      </c>
      <c r="B16" t="s">
        <v>251</v>
      </c>
      <c r="C16" s="76">
        <v>35.9</v>
      </c>
    </row>
    <row r="17" spans="1:3" x14ac:dyDescent="0.25">
      <c r="A17" s="1">
        <v>2020</v>
      </c>
      <c r="B17" t="s">
        <v>252</v>
      </c>
      <c r="C17" s="76">
        <v>82.2</v>
      </c>
    </row>
    <row r="18" spans="1:3" x14ac:dyDescent="0.25">
      <c r="A18" s="1">
        <v>2021</v>
      </c>
      <c r="B18" t="s">
        <v>251</v>
      </c>
      <c r="C18" s="76">
        <v>37.299999999999997</v>
      </c>
    </row>
    <row r="19" spans="1:3" x14ac:dyDescent="0.25">
      <c r="A19" s="1">
        <v>2021</v>
      </c>
      <c r="B19" t="s">
        <v>252</v>
      </c>
      <c r="C19" s="76">
        <v>83.5</v>
      </c>
    </row>
    <row r="20" spans="1:3" x14ac:dyDescent="0.25">
      <c r="A20" s="1">
        <v>2022</v>
      </c>
      <c r="B20" t="s">
        <v>251</v>
      </c>
      <c r="C20" s="76">
        <v>39.1</v>
      </c>
    </row>
    <row r="21" spans="1:3" x14ac:dyDescent="0.25">
      <c r="A21" s="6">
        <v>2022</v>
      </c>
      <c r="B21" s="8" t="s">
        <v>252</v>
      </c>
      <c r="C21" s="77">
        <v>84.9</v>
      </c>
    </row>
    <row r="23" spans="1:3" x14ac:dyDescent="0.25">
      <c r="A23" t="s">
        <v>73</v>
      </c>
    </row>
    <row r="25" spans="1:3" x14ac:dyDescent="0.25">
      <c r="A25" t="s">
        <v>211</v>
      </c>
    </row>
    <row r="27" spans="1:3" x14ac:dyDescent="0.25">
      <c r="A2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/>
  </sheetViews>
  <sheetFormatPr defaultColWidth="11.42578125" defaultRowHeight="15" x14ac:dyDescent="0.25"/>
  <cols>
    <col min="1" max="1" width="27.7109375" customWidth="1"/>
    <col min="2" max="2" width="6.7109375" customWidth="1"/>
    <col min="3" max="3" width="8.7109375" customWidth="1"/>
  </cols>
  <sheetData>
    <row r="1" spans="1:3" x14ac:dyDescent="0.25">
      <c r="A1" t="s">
        <v>253</v>
      </c>
    </row>
    <row r="3" spans="1:3" x14ac:dyDescent="0.25">
      <c r="A3" s="4" t="s">
        <v>250</v>
      </c>
      <c r="B3" s="3" t="s">
        <v>2</v>
      </c>
      <c r="C3" s="5" t="s">
        <v>254</v>
      </c>
    </row>
    <row r="4" spans="1:3" x14ac:dyDescent="0.25">
      <c r="A4" s="1" t="s">
        <v>252</v>
      </c>
      <c r="B4" t="s">
        <v>255</v>
      </c>
      <c r="C4" s="118">
        <v>0</v>
      </c>
    </row>
    <row r="5" spans="1:3" x14ac:dyDescent="0.25">
      <c r="A5" s="1" t="s">
        <v>251</v>
      </c>
      <c r="B5" t="s">
        <v>255</v>
      </c>
      <c r="C5" s="118">
        <v>0</v>
      </c>
    </row>
    <row r="6" spans="1:3" x14ac:dyDescent="0.25">
      <c r="A6" s="1" t="s">
        <v>252</v>
      </c>
      <c r="B6" t="s">
        <v>5</v>
      </c>
      <c r="C6" s="118">
        <v>5.8999999999999997E-2</v>
      </c>
    </row>
    <row r="7" spans="1:3" x14ac:dyDescent="0.25">
      <c r="A7" s="1" t="s">
        <v>251</v>
      </c>
      <c r="B7" t="s">
        <v>5</v>
      </c>
      <c r="C7" s="118">
        <v>-0.03</v>
      </c>
    </row>
    <row r="8" spans="1:3" x14ac:dyDescent="0.25">
      <c r="A8" s="1" t="s">
        <v>252</v>
      </c>
      <c r="B8" t="s">
        <v>114</v>
      </c>
      <c r="C8" s="118">
        <v>0.127</v>
      </c>
    </row>
    <row r="9" spans="1:3" x14ac:dyDescent="0.25">
      <c r="A9" s="1" t="s">
        <v>251</v>
      </c>
      <c r="B9" t="s">
        <v>114</v>
      </c>
      <c r="C9" s="118">
        <v>-0.01</v>
      </c>
    </row>
    <row r="10" spans="1:3" x14ac:dyDescent="0.25">
      <c r="A10" s="1" t="s">
        <v>252</v>
      </c>
      <c r="B10" t="s">
        <v>115</v>
      </c>
      <c r="C10" s="118">
        <v>0.21099999999999999</v>
      </c>
    </row>
    <row r="11" spans="1:3" x14ac:dyDescent="0.25">
      <c r="A11" s="1" t="s">
        <v>251</v>
      </c>
      <c r="B11" t="s">
        <v>115</v>
      </c>
      <c r="C11" s="118">
        <v>9.8000000000000004E-2</v>
      </c>
    </row>
    <row r="12" spans="1:3" x14ac:dyDescent="0.25">
      <c r="A12" s="1" t="s">
        <v>252</v>
      </c>
      <c r="B12" t="s">
        <v>116</v>
      </c>
      <c r="C12" s="118">
        <v>0.27900000000000003</v>
      </c>
    </row>
    <row r="13" spans="1:3" x14ac:dyDescent="0.25">
      <c r="A13" s="1" t="s">
        <v>251</v>
      </c>
      <c r="B13" t="s">
        <v>116</v>
      </c>
      <c r="C13" s="118">
        <v>0.20799999999999999</v>
      </c>
    </row>
    <row r="14" spans="1:3" x14ac:dyDescent="0.25">
      <c r="A14" s="1" t="s">
        <v>252</v>
      </c>
      <c r="B14" t="s">
        <v>117</v>
      </c>
      <c r="C14" s="118">
        <v>0.33500000000000002</v>
      </c>
    </row>
    <row r="15" spans="1:3" x14ac:dyDescent="0.25">
      <c r="A15" s="1" t="s">
        <v>251</v>
      </c>
      <c r="B15" t="s">
        <v>117</v>
      </c>
      <c r="C15" s="118">
        <v>0.28999999999999998</v>
      </c>
    </row>
    <row r="16" spans="1:3" x14ac:dyDescent="0.25">
      <c r="A16" s="1" t="s">
        <v>252</v>
      </c>
      <c r="B16" t="s">
        <v>36</v>
      </c>
      <c r="C16" s="118">
        <v>0.38100000000000001</v>
      </c>
    </row>
    <row r="17" spans="1:3" x14ac:dyDescent="0.25">
      <c r="A17" s="1" t="s">
        <v>251</v>
      </c>
      <c r="B17" t="s">
        <v>36</v>
      </c>
      <c r="C17" s="118">
        <v>0.33200000000000002</v>
      </c>
    </row>
    <row r="18" spans="1:3" x14ac:dyDescent="0.25">
      <c r="A18" s="1" t="s">
        <v>252</v>
      </c>
      <c r="B18" t="s">
        <v>118</v>
      </c>
      <c r="C18" s="118">
        <v>0.26200000000000001</v>
      </c>
    </row>
    <row r="19" spans="1:3" x14ac:dyDescent="0.25">
      <c r="A19" s="1" t="s">
        <v>251</v>
      </c>
      <c r="B19" t="s">
        <v>118</v>
      </c>
      <c r="C19" s="118">
        <v>0.24199999999999999</v>
      </c>
    </row>
    <row r="20" spans="1:3" x14ac:dyDescent="0.25">
      <c r="A20" s="1" t="s">
        <v>252</v>
      </c>
      <c r="B20" t="s">
        <v>119</v>
      </c>
      <c r="C20" s="118">
        <v>0.28199999999999997</v>
      </c>
    </row>
    <row r="21" spans="1:3" x14ac:dyDescent="0.25">
      <c r="A21" s="1" t="s">
        <v>251</v>
      </c>
      <c r="B21" t="s">
        <v>119</v>
      </c>
      <c r="C21" s="118">
        <v>0.29099999999999998</v>
      </c>
    </row>
    <row r="22" spans="1:3" x14ac:dyDescent="0.25">
      <c r="A22" s="1" t="s">
        <v>252</v>
      </c>
      <c r="B22" t="s">
        <v>120</v>
      </c>
      <c r="C22" s="118">
        <v>0.30299999999999999</v>
      </c>
    </row>
    <row r="23" spans="1:3" x14ac:dyDescent="0.25">
      <c r="A23" s="6" t="s">
        <v>251</v>
      </c>
      <c r="B23" s="8" t="s">
        <v>120</v>
      </c>
      <c r="C23" s="119">
        <v>0.35499999999999998</v>
      </c>
    </row>
    <row r="25" spans="1:3" x14ac:dyDescent="0.25">
      <c r="A25" t="s">
        <v>73</v>
      </c>
    </row>
    <row r="27" spans="1:3" x14ac:dyDescent="0.25">
      <c r="A27" t="s">
        <v>211</v>
      </c>
    </row>
    <row r="29" spans="1:3" x14ac:dyDescent="0.25">
      <c r="A2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/>
  </sheetViews>
  <sheetFormatPr defaultColWidth="11.42578125" defaultRowHeight="15" x14ac:dyDescent="0.25"/>
  <cols>
    <col min="1" max="1" width="6.7109375" customWidth="1"/>
    <col min="2" max="2" width="25.7109375" bestFit="1" customWidth="1"/>
    <col min="3" max="3" width="26.7109375" customWidth="1"/>
  </cols>
  <sheetData>
    <row r="1" spans="1:3" x14ac:dyDescent="0.25">
      <c r="A1" t="s">
        <v>256</v>
      </c>
    </row>
    <row r="2" spans="1:3" ht="15.75" thickBot="1" x14ac:dyDescent="0.3"/>
    <row r="3" spans="1:3" x14ac:dyDescent="0.25">
      <c r="A3" s="134" t="s">
        <v>2</v>
      </c>
      <c r="B3" s="135" t="s">
        <v>250</v>
      </c>
      <c r="C3" s="136" t="s">
        <v>244</v>
      </c>
    </row>
    <row r="4" spans="1:3" x14ac:dyDescent="0.25">
      <c r="A4" s="137">
        <v>2014</v>
      </c>
      <c r="B4" s="133" t="s">
        <v>251</v>
      </c>
      <c r="C4" s="138">
        <v>256.3</v>
      </c>
    </row>
    <row r="5" spans="1:3" x14ac:dyDescent="0.25">
      <c r="A5" s="137">
        <v>2015</v>
      </c>
      <c r="B5" s="133" t="s">
        <v>251</v>
      </c>
      <c r="C5" s="138">
        <v>253.2</v>
      </c>
    </row>
    <row r="6" spans="1:3" x14ac:dyDescent="0.25">
      <c r="A6" s="137">
        <v>2016</v>
      </c>
      <c r="B6" s="133" t="s">
        <v>251</v>
      </c>
      <c r="C6" s="138">
        <v>270.3</v>
      </c>
    </row>
    <row r="7" spans="1:3" x14ac:dyDescent="0.25">
      <c r="A7" s="137">
        <v>2017</v>
      </c>
      <c r="B7" s="133" t="s">
        <v>251</v>
      </c>
      <c r="C7" s="138">
        <v>304</v>
      </c>
    </row>
    <row r="8" spans="1:3" x14ac:dyDescent="0.25">
      <c r="A8" s="137">
        <v>2018</v>
      </c>
      <c r="B8" s="133" t="s">
        <v>251</v>
      </c>
      <c r="C8" s="138">
        <v>323.10000000000002</v>
      </c>
    </row>
    <row r="9" spans="1:3" x14ac:dyDescent="0.25">
      <c r="A9" s="137">
        <v>2019</v>
      </c>
      <c r="B9" s="133" t="s">
        <v>251</v>
      </c>
      <c r="C9" s="138">
        <v>335.4</v>
      </c>
    </row>
    <row r="10" spans="1:3" x14ac:dyDescent="0.25">
      <c r="A10" s="137">
        <v>2020</v>
      </c>
      <c r="B10" s="133" t="s">
        <v>251</v>
      </c>
      <c r="C10" s="138">
        <v>323.60000000000002</v>
      </c>
    </row>
    <row r="11" spans="1:3" x14ac:dyDescent="0.25">
      <c r="A11" s="137">
        <v>2021</v>
      </c>
      <c r="B11" s="133" t="s">
        <v>251</v>
      </c>
      <c r="C11" s="138">
        <v>320.7</v>
      </c>
    </row>
    <row r="12" spans="1:3" x14ac:dyDescent="0.25">
      <c r="A12" s="137">
        <v>2022</v>
      </c>
      <c r="B12" s="133" t="s">
        <v>251</v>
      </c>
      <c r="C12" s="138">
        <v>329.6</v>
      </c>
    </row>
    <row r="13" spans="1:3" x14ac:dyDescent="0.25">
      <c r="A13" s="137">
        <v>2014</v>
      </c>
      <c r="B13" s="133" t="s">
        <v>252</v>
      </c>
      <c r="C13" s="138">
        <v>488.6</v>
      </c>
    </row>
    <row r="14" spans="1:3" x14ac:dyDescent="0.25">
      <c r="A14" s="137">
        <v>2015</v>
      </c>
      <c r="B14" s="133" t="s">
        <v>252</v>
      </c>
      <c r="C14" s="138">
        <v>525.20000000000005</v>
      </c>
    </row>
    <row r="15" spans="1:3" x14ac:dyDescent="0.25">
      <c r="A15" s="137">
        <v>2016</v>
      </c>
      <c r="B15" s="133" t="s">
        <v>252</v>
      </c>
      <c r="C15" s="138">
        <v>570.29999999999995</v>
      </c>
    </row>
    <row r="16" spans="1:3" x14ac:dyDescent="0.25">
      <c r="A16" s="137">
        <v>2017</v>
      </c>
      <c r="B16" s="133" t="s">
        <v>252</v>
      </c>
      <c r="C16" s="138">
        <v>618.5</v>
      </c>
    </row>
    <row r="17" spans="1:3" x14ac:dyDescent="0.25">
      <c r="A17" s="137">
        <v>2018</v>
      </c>
      <c r="B17" s="133" t="s">
        <v>252</v>
      </c>
      <c r="C17" s="138">
        <v>648.70000000000005</v>
      </c>
    </row>
    <row r="18" spans="1:3" x14ac:dyDescent="0.25">
      <c r="A18" s="137">
        <v>2019</v>
      </c>
      <c r="B18" s="133" t="s">
        <v>252</v>
      </c>
      <c r="C18" s="138">
        <v>673.4</v>
      </c>
    </row>
    <row r="19" spans="1:3" x14ac:dyDescent="0.25">
      <c r="A19" s="137">
        <v>2020</v>
      </c>
      <c r="B19" s="133" t="s">
        <v>252</v>
      </c>
      <c r="C19" s="138">
        <v>649</v>
      </c>
    </row>
    <row r="20" spans="1:3" x14ac:dyDescent="0.25">
      <c r="A20" s="137">
        <v>2021</v>
      </c>
      <c r="B20" s="133" t="s">
        <v>252</v>
      </c>
      <c r="C20" s="138">
        <v>628.70000000000005</v>
      </c>
    </row>
    <row r="21" spans="1:3" ht="15.75" thickBot="1" x14ac:dyDescent="0.3">
      <c r="A21" s="139">
        <v>2022</v>
      </c>
      <c r="B21" s="140" t="s">
        <v>252</v>
      </c>
      <c r="C21" s="141">
        <v>634.5</v>
      </c>
    </row>
    <row r="23" spans="1:3" x14ac:dyDescent="0.25">
      <c r="A23" t="s">
        <v>73</v>
      </c>
    </row>
    <row r="25" spans="1:3" x14ac:dyDescent="0.25">
      <c r="A25" t="s">
        <v>211</v>
      </c>
    </row>
    <row r="27" spans="1:3" x14ac:dyDescent="0.25">
      <c r="A2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/>
  </sheetViews>
  <sheetFormatPr defaultColWidth="11.42578125" defaultRowHeight="15" x14ac:dyDescent="0.25"/>
  <cols>
    <col min="1" max="1" width="7.5703125" customWidth="1"/>
    <col min="2" max="2" width="25.7109375" bestFit="1" customWidth="1"/>
    <col min="3" max="3" width="20.7109375" customWidth="1"/>
  </cols>
  <sheetData>
    <row r="1" spans="1:3" x14ac:dyDescent="0.25">
      <c r="A1" t="s">
        <v>257</v>
      </c>
    </row>
    <row r="2" spans="1:3" ht="15.75" thickBot="1" x14ac:dyDescent="0.3"/>
    <row r="3" spans="1:3" x14ac:dyDescent="0.25">
      <c r="A3" s="134" t="s">
        <v>2</v>
      </c>
      <c r="B3" s="135" t="s">
        <v>250</v>
      </c>
      <c r="C3" s="136" t="s">
        <v>245</v>
      </c>
    </row>
    <row r="4" spans="1:3" x14ac:dyDescent="0.25">
      <c r="A4" s="137">
        <v>2014</v>
      </c>
      <c r="B4" s="133" t="s">
        <v>251</v>
      </c>
      <c r="C4" s="138">
        <v>5</v>
      </c>
    </row>
    <row r="5" spans="1:3" x14ac:dyDescent="0.25">
      <c r="A5" s="137">
        <v>2015</v>
      </c>
      <c r="B5" s="133" t="s">
        <v>251</v>
      </c>
      <c r="C5" s="138">
        <v>5</v>
      </c>
    </row>
    <row r="6" spans="1:3" x14ac:dyDescent="0.25">
      <c r="A6" s="137">
        <v>2016</v>
      </c>
      <c r="B6" s="133" t="s">
        <v>251</v>
      </c>
      <c r="C6" s="138">
        <v>5.5</v>
      </c>
    </row>
    <row r="7" spans="1:3" x14ac:dyDescent="0.25">
      <c r="A7" s="137">
        <v>2017</v>
      </c>
      <c r="B7" s="133" t="s">
        <v>251</v>
      </c>
      <c r="C7" s="138">
        <v>6.4</v>
      </c>
    </row>
    <row r="8" spans="1:3" x14ac:dyDescent="0.25">
      <c r="A8" s="137">
        <v>2018</v>
      </c>
      <c r="B8" s="133" t="s">
        <v>251</v>
      </c>
      <c r="C8" s="138">
        <v>6.9</v>
      </c>
    </row>
    <row r="9" spans="1:3" x14ac:dyDescent="0.25">
      <c r="A9" s="137">
        <v>2019</v>
      </c>
      <c r="B9" s="133" t="s">
        <v>251</v>
      </c>
      <c r="C9" s="138">
        <v>7.3</v>
      </c>
    </row>
    <row r="10" spans="1:3" x14ac:dyDescent="0.25">
      <c r="A10" s="137">
        <v>2020</v>
      </c>
      <c r="B10" s="133" t="s">
        <v>251</v>
      </c>
      <c r="C10" s="138">
        <v>7.3</v>
      </c>
    </row>
    <row r="11" spans="1:3" x14ac:dyDescent="0.25">
      <c r="A11" s="137">
        <v>2021</v>
      </c>
      <c r="B11" s="133" t="s">
        <v>251</v>
      </c>
      <c r="C11" s="138">
        <v>7.1</v>
      </c>
    </row>
    <row r="12" spans="1:3" x14ac:dyDescent="0.25">
      <c r="A12" s="137">
        <v>2022</v>
      </c>
      <c r="B12" s="133" t="s">
        <v>251</v>
      </c>
      <c r="C12" s="138">
        <v>7.4</v>
      </c>
    </row>
    <row r="13" spans="1:3" x14ac:dyDescent="0.25">
      <c r="A13" s="137">
        <v>2014</v>
      </c>
      <c r="B13" s="133" t="s">
        <v>252</v>
      </c>
      <c r="C13" s="138">
        <v>15.7</v>
      </c>
    </row>
    <row r="14" spans="1:3" x14ac:dyDescent="0.25">
      <c r="A14" s="137">
        <v>2015</v>
      </c>
      <c r="B14" s="133" t="s">
        <v>252</v>
      </c>
      <c r="C14" s="138">
        <v>16.899999999999999</v>
      </c>
    </row>
    <row r="15" spans="1:3" x14ac:dyDescent="0.25">
      <c r="A15" s="137">
        <v>2016</v>
      </c>
      <c r="B15" s="133" t="s">
        <v>252</v>
      </c>
      <c r="C15" s="138">
        <v>18.399999999999999</v>
      </c>
    </row>
    <row r="16" spans="1:3" x14ac:dyDescent="0.25">
      <c r="A16" s="137">
        <v>2017</v>
      </c>
      <c r="B16" s="133" t="s">
        <v>252</v>
      </c>
      <c r="C16" s="138">
        <v>20.100000000000001</v>
      </c>
    </row>
    <row r="17" spans="1:3" x14ac:dyDescent="0.25">
      <c r="A17" s="137">
        <v>2018</v>
      </c>
      <c r="B17" s="133" t="s">
        <v>252</v>
      </c>
      <c r="C17" s="138">
        <v>21.3</v>
      </c>
    </row>
    <row r="18" spans="1:3" x14ac:dyDescent="0.25">
      <c r="A18" s="137">
        <v>2019</v>
      </c>
      <c r="B18" s="133" t="s">
        <v>252</v>
      </c>
      <c r="C18" s="138">
        <v>22.3</v>
      </c>
    </row>
    <row r="19" spans="1:3" x14ac:dyDescent="0.25">
      <c r="A19" s="137">
        <v>2020</v>
      </c>
      <c r="B19" s="133" t="s">
        <v>252</v>
      </c>
      <c r="C19" s="138">
        <v>21.7</v>
      </c>
    </row>
    <row r="20" spans="1:3" x14ac:dyDescent="0.25">
      <c r="A20" s="137">
        <v>2021</v>
      </c>
      <c r="B20" s="133" t="s">
        <v>252</v>
      </c>
      <c r="C20" s="138">
        <v>21</v>
      </c>
    </row>
    <row r="21" spans="1:3" ht="15.75" thickBot="1" x14ac:dyDescent="0.3">
      <c r="A21" s="139">
        <v>2022</v>
      </c>
      <c r="B21" s="140" t="s">
        <v>252</v>
      </c>
      <c r="C21" s="141">
        <v>21.2</v>
      </c>
    </row>
    <row r="23" spans="1:3" x14ac:dyDescent="0.25">
      <c r="A23" t="s">
        <v>73</v>
      </c>
    </row>
    <row r="25" spans="1:3" x14ac:dyDescent="0.25">
      <c r="A25" t="s">
        <v>211</v>
      </c>
    </row>
    <row r="27" spans="1:3" x14ac:dyDescent="0.25">
      <c r="A2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/>
  </sheetViews>
  <sheetFormatPr defaultColWidth="11.42578125" defaultRowHeight="15" x14ac:dyDescent="0.25"/>
  <cols>
    <col min="1" max="1" width="11.7109375" customWidth="1"/>
    <col min="2" max="2" width="6.7109375" customWidth="1"/>
    <col min="3" max="3" width="26.7109375" customWidth="1"/>
    <col min="4" max="5" width="29.7109375" customWidth="1"/>
    <col min="6" max="6" width="18.7109375" customWidth="1"/>
    <col min="7" max="8" width="25.7109375" customWidth="1"/>
  </cols>
  <sheetData>
    <row r="1" spans="1:8" x14ac:dyDescent="0.25">
      <c r="A1" t="s">
        <v>47</v>
      </c>
    </row>
    <row r="3" spans="1:8" x14ac:dyDescent="0.25">
      <c r="A3" s="4" t="s">
        <v>41</v>
      </c>
      <c r="B3" s="3" t="s">
        <v>2</v>
      </c>
      <c r="C3" s="3" t="s">
        <v>334</v>
      </c>
      <c r="D3" s="3" t="s">
        <v>335</v>
      </c>
      <c r="E3" s="3" t="s">
        <v>336</v>
      </c>
      <c r="F3" s="3" t="s">
        <v>42</v>
      </c>
      <c r="G3" s="3" t="s">
        <v>43</v>
      </c>
      <c r="H3" s="5" t="s">
        <v>44</v>
      </c>
    </row>
    <row r="4" spans="1:8" x14ac:dyDescent="0.25">
      <c r="A4" s="1" t="s">
        <v>45</v>
      </c>
      <c r="B4">
        <v>2000</v>
      </c>
      <c r="C4" s="18">
        <v>34.700000000000003</v>
      </c>
      <c r="D4">
        <v>39.9</v>
      </c>
      <c r="E4">
        <v>29.4</v>
      </c>
      <c r="F4" s="19">
        <v>1.8E-3</v>
      </c>
      <c r="G4" s="19">
        <v>2E-3</v>
      </c>
      <c r="H4" s="20">
        <v>1.5E-3</v>
      </c>
    </row>
    <row r="5" spans="1:8" x14ac:dyDescent="0.25">
      <c r="A5" s="1" t="s">
        <v>45</v>
      </c>
      <c r="B5">
        <v>2001</v>
      </c>
      <c r="C5" s="18">
        <v>35.4</v>
      </c>
      <c r="D5">
        <v>40.9</v>
      </c>
      <c r="E5">
        <v>30.1</v>
      </c>
      <c r="F5" s="19">
        <v>1.8E-3</v>
      </c>
      <c r="G5" s="19">
        <v>2.0999999999999999E-3</v>
      </c>
      <c r="H5" s="20">
        <v>1.5E-3</v>
      </c>
    </row>
    <row r="6" spans="1:8" x14ac:dyDescent="0.25">
      <c r="A6" s="1" t="s">
        <v>45</v>
      </c>
      <c r="B6">
        <v>2002</v>
      </c>
      <c r="C6" s="18">
        <v>36.200000000000003</v>
      </c>
      <c r="D6">
        <v>41.9</v>
      </c>
      <c r="E6">
        <v>30.7</v>
      </c>
      <c r="F6" s="19">
        <v>1.8E-3</v>
      </c>
      <c r="G6" s="19">
        <v>2.0999999999999999E-3</v>
      </c>
      <c r="H6" s="20">
        <v>1.6000000000000001E-3</v>
      </c>
    </row>
    <row r="7" spans="1:8" x14ac:dyDescent="0.25">
      <c r="A7" s="1" t="s">
        <v>45</v>
      </c>
      <c r="B7">
        <v>2003</v>
      </c>
      <c r="C7" s="18">
        <v>37</v>
      </c>
      <c r="D7">
        <v>42.7</v>
      </c>
      <c r="E7">
        <v>31.3</v>
      </c>
      <c r="F7" s="19">
        <v>1.9E-3</v>
      </c>
      <c r="G7" s="19">
        <v>2.2000000000000001E-3</v>
      </c>
      <c r="H7" s="20">
        <v>1.6000000000000001E-3</v>
      </c>
    </row>
    <row r="8" spans="1:8" x14ac:dyDescent="0.25">
      <c r="A8" s="1" t="s">
        <v>45</v>
      </c>
      <c r="B8">
        <v>2004</v>
      </c>
      <c r="C8" s="18">
        <v>37.9</v>
      </c>
      <c r="D8">
        <v>43.8</v>
      </c>
      <c r="E8">
        <v>32.1</v>
      </c>
      <c r="F8" s="19">
        <v>1.9E-3</v>
      </c>
      <c r="G8" s="19">
        <v>2.2000000000000001E-3</v>
      </c>
      <c r="H8" s="20">
        <v>1.6000000000000001E-3</v>
      </c>
    </row>
    <row r="9" spans="1:8" x14ac:dyDescent="0.25">
      <c r="A9" s="1" t="s">
        <v>45</v>
      </c>
      <c r="B9">
        <v>2005</v>
      </c>
      <c r="C9" s="18">
        <v>39</v>
      </c>
      <c r="D9">
        <v>45.3</v>
      </c>
      <c r="E9">
        <v>32.9</v>
      </c>
      <c r="F9" s="19">
        <v>2E-3</v>
      </c>
      <c r="G9" s="19">
        <v>2.3E-3</v>
      </c>
      <c r="H9" s="20">
        <v>1.6999999999999999E-3</v>
      </c>
    </row>
    <row r="10" spans="1:8" x14ac:dyDescent="0.25">
      <c r="A10" s="1" t="s">
        <v>45</v>
      </c>
      <c r="B10">
        <v>2006</v>
      </c>
      <c r="C10" s="18">
        <v>40</v>
      </c>
      <c r="D10">
        <v>46.5</v>
      </c>
      <c r="E10">
        <v>33.6</v>
      </c>
      <c r="F10" s="19">
        <v>2E-3</v>
      </c>
      <c r="G10" s="19">
        <v>2.3999999999999998E-3</v>
      </c>
      <c r="H10" s="20">
        <v>1.6999999999999999E-3</v>
      </c>
    </row>
    <row r="11" spans="1:8" x14ac:dyDescent="0.25">
      <c r="A11" s="1" t="s">
        <v>45</v>
      </c>
      <c r="B11">
        <v>2007</v>
      </c>
      <c r="C11" s="18">
        <v>41.1</v>
      </c>
      <c r="D11">
        <v>47.8</v>
      </c>
      <c r="E11">
        <v>34.5</v>
      </c>
      <c r="F11" s="19">
        <v>2.0999999999999999E-3</v>
      </c>
      <c r="G11" s="19">
        <v>2.3999999999999998E-3</v>
      </c>
      <c r="H11" s="20">
        <v>1.6999999999999999E-3</v>
      </c>
    </row>
    <row r="12" spans="1:8" x14ac:dyDescent="0.25">
      <c r="A12" s="1" t="s">
        <v>45</v>
      </c>
      <c r="B12">
        <v>2008</v>
      </c>
      <c r="C12" s="18">
        <v>42.1</v>
      </c>
      <c r="D12">
        <v>49.1</v>
      </c>
      <c r="E12">
        <v>35.299999999999997</v>
      </c>
      <c r="F12" s="19">
        <v>2.0999999999999999E-3</v>
      </c>
      <c r="G12" s="19">
        <v>2.5000000000000001E-3</v>
      </c>
      <c r="H12" s="20">
        <v>1.8E-3</v>
      </c>
    </row>
    <row r="13" spans="1:8" x14ac:dyDescent="0.25">
      <c r="A13" s="1" t="s">
        <v>45</v>
      </c>
      <c r="B13">
        <v>2009</v>
      </c>
      <c r="C13" s="18">
        <v>43.3</v>
      </c>
      <c r="D13">
        <v>50.5</v>
      </c>
      <c r="E13">
        <v>36.299999999999997</v>
      </c>
      <c r="F13" s="19">
        <v>2.2000000000000001E-3</v>
      </c>
      <c r="G13" s="19">
        <v>2.5999999999999999E-3</v>
      </c>
      <c r="H13" s="20">
        <v>1.8E-3</v>
      </c>
    </row>
    <row r="14" spans="1:8" x14ac:dyDescent="0.25">
      <c r="A14" s="1" t="s">
        <v>45</v>
      </c>
      <c r="B14">
        <v>2010</v>
      </c>
      <c r="C14" s="18">
        <v>44.7</v>
      </c>
      <c r="D14">
        <v>51.9</v>
      </c>
      <c r="E14">
        <v>37.5</v>
      </c>
      <c r="F14" s="19">
        <v>2.3E-3</v>
      </c>
      <c r="G14" s="19">
        <v>2.5999999999999999E-3</v>
      </c>
      <c r="H14" s="20">
        <v>1.9E-3</v>
      </c>
    </row>
    <row r="15" spans="1:8" x14ac:dyDescent="0.25">
      <c r="A15" s="1" t="s">
        <v>45</v>
      </c>
      <c r="B15">
        <v>2011</v>
      </c>
      <c r="C15" s="18">
        <v>46.1</v>
      </c>
      <c r="D15">
        <v>53.4</v>
      </c>
      <c r="E15">
        <v>38.700000000000003</v>
      </c>
      <c r="F15" s="19">
        <v>2.3E-3</v>
      </c>
      <c r="G15" s="19">
        <v>2.7000000000000001E-3</v>
      </c>
      <c r="H15" s="20">
        <v>2E-3</v>
      </c>
    </row>
    <row r="16" spans="1:8" x14ac:dyDescent="0.25">
      <c r="A16" s="1" t="s">
        <v>45</v>
      </c>
      <c r="B16">
        <v>2012</v>
      </c>
      <c r="C16" s="18">
        <v>47.4</v>
      </c>
      <c r="D16">
        <v>54.9</v>
      </c>
      <c r="E16">
        <v>39.9</v>
      </c>
      <c r="F16" s="19">
        <v>2.3999999999999998E-3</v>
      </c>
      <c r="G16" s="19">
        <v>2.8E-3</v>
      </c>
      <c r="H16" s="20">
        <v>2E-3</v>
      </c>
    </row>
    <row r="17" spans="1:8" x14ac:dyDescent="0.25">
      <c r="A17" s="1" t="s">
        <v>45</v>
      </c>
      <c r="B17">
        <v>2013</v>
      </c>
      <c r="C17" s="18">
        <v>48.7</v>
      </c>
      <c r="D17">
        <v>56.2</v>
      </c>
      <c r="E17">
        <v>41</v>
      </c>
      <c r="F17" s="19">
        <v>2.5000000000000001E-3</v>
      </c>
      <c r="G17" s="19">
        <v>2.8E-3</v>
      </c>
      <c r="H17" s="20">
        <v>2.0999999999999999E-3</v>
      </c>
    </row>
    <row r="18" spans="1:8" x14ac:dyDescent="0.25">
      <c r="A18" s="1" t="s">
        <v>45</v>
      </c>
      <c r="B18">
        <v>2014</v>
      </c>
      <c r="C18" s="18">
        <v>50</v>
      </c>
      <c r="D18">
        <v>57.5</v>
      </c>
      <c r="E18">
        <v>42.1</v>
      </c>
      <c r="F18" s="19">
        <v>2.5000000000000001E-3</v>
      </c>
      <c r="G18" s="19">
        <v>2.8999999999999998E-3</v>
      </c>
      <c r="H18" s="20">
        <v>2.0999999999999999E-3</v>
      </c>
    </row>
    <row r="19" spans="1:8" x14ac:dyDescent="0.25">
      <c r="A19" s="1" t="s">
        <v>45</v>
      </c>
      <c r="B19">
        <v>2015</v>
      </c>
      <c r="C19" s="18">
        <v>51.2</v>
      </c>
      <c r="D19">
        <v>59</v>
      </c>
      <c r="E19">
        <v>43.3</v>
      </c>
      <c r="F19" s="19">
        <v>2.5999999999999999E-3</v>
      </c>
      <c r="G19" s="19">
        <v>3.0000000000000001E-3</v>
      </c>
      <c r="H19" s="20">
        <v>2.2000000000000001E-3</v>
      </c>
    </row>
    <row r="20" spans="1:8" x14ac:dyDescent="0.25">
      <c r="A20" s="1" t="s">
        <v>45</v>
      </c>
      <c r="B20">
        <v>2016</v>
      </c>
      <c r="C20" s="18">
        <v>52.7</v>
      </c>
      <c r="D20">
        <v>60.2</v>
      </c>
      <c r="E20">
        <v>44.6</v>
      </c>
      <c r="F20" s="19">
        <v>2.7000000000000001E-3</v>
      </c>
      <c r="G20" s="19">
        <v>3.0000000000000001E-3</v>
      </c>
      <c r="H20" s="20">
        <v>2.2000000000000001E-3</v>
      </c>
    </row>
    <row r="21" spans="1:8" x14ac:dyDescent="0.25">
      <c r="A21" s="1" t="s">
        <v>45</v>
      </c>
      <c r="B21">
        <v>2017</v>
      </c>
      <c r="C21" s="18">
        <v>54</v>
      </c>
      <c r="D21">
        <v>61.8</v>
      </c>
      <c r="E21">
        <v>45.8</v>
      </c>
      <c r="F21" s="19">
        <v>2.7000000000000001E-3</v>
      </c>
      <c r="G21" s="19">
        <v>3.0999999999999999E-3</v>
      </c>
      <c r="H21" s="20">
        <v>2.3E-3</v>
      </c>
    </row>
    <row r="22" spans="1:8" x14ac:dyDescent="0.25">
      <c r="A22" s="1" t="s">
        <v>45</v>
      </c>
      <c r="B22">
        <v>2018</v>
      </c>
      <c r="C22" s="18">
        <v>55.1</v>
      </c>
      <c r="D22">
        <v>62.9</v>
      </c>
      <c r="E22">
        <v>46.8</v>
      </c>
      <c r="F22" s="19">
        <v>2.8E-3</v>
      </c>
      <c r="G22" s="19">
        <v>3.2000000000000002E-3</v>
      </c>
      <c r="H22" s="20">
        <v>2.3999999999999998E-3</v>
      </c>
    </row>
    <row r="23" spans="1:8" x14ac:dyDescent="0.25">
      <c r="A23" s="1" t="s">
        <v>45</v>
      </c>
      <c r="B23">
        <v>2019</v>
      </c>
      <c r="C23" s="18">
        <v>56.1</v>
      </c>
      <c r="D23">
        <v>64</v>
      </c>
      <c r="E23">
        <v>47.7</v>
      </c>
      <c r="F23" s="19">
        <v>2.8E-3</v>
      </c>
      <c r="G23" s="19">
        <v>3.2000000000000002E-3</v>
      </c>
      <c r="H23" s="20">
        <v>2.3999999999999998E-3</v>
      </c>
    </row>
    <row r="24" spans="1:8" x14ac:dyDescent="0.25">
      <c r="A24" s="1" t="s">
        <v>46</v>
      </c>
      <c r="B24">
        <v>2000</v>
      </c>
      <c r="C24" s="18">
        <v>14.6</v>
      </c>
      <c r="D24">
        <v>16.899999999999999</v>
      </c>
      <c r="E24">
        <v>12.1</v>
      </c>
      <c r="F24" s="19">
        <v>8.0000000000000004E-4</v>
      </c>
      <c r="G24" s="19">
        <v>8.9999999999999998E-4</v>
      </c>
      <c r="H24" s="20">
        <v>6.9999999999999999E-4</v>
      </c>
    </row>
    <row r="25" spans="1:8" x14ac:dyDescent="0.25">
      <c r="A25" s="1" t="s">
        <v>46</v>
      </c>
      <c r="B25">
        <v>2001</v>
      </c>
      <c r="C25" s="18">
        <v>14.9</v>
      </c>
      <c r="D25">
        <v>17.3</v>
      </c>
      <c r="E25">
        <v>12.4</v>
      </c>
      <c r="F25" s="19">
        <v>8.0000000000000004E-4</v>
      </c>
      <c r="G25" s="19">
        <v>8.9999999999999998E-4</v>
      </c>
      <c r="H25" s="20">
        <v>6.9999999999999999E-4</v>
      </c>
    </row>
    <row r="26" spans="1:8" x14ac:dyDescent="0.25">
      <c r="A26" s="1" t="s">
        <v>46</v>
      </c>
      <c r="B26">
        <v>2002</v>
      </c>
      <c r="C26" s="18">
        <v>15.2</v>
      </c>
      <c r="D26">
        <v>17.7</v>
      </c>
      <c r="E26">
        <v>12.7</v>
      </c>
      <c r="F26" s="19">
        <v>8.0000000000000004E-4</v>
      </c>
      <c r="G26" s="19">
        <v>1E-3</v>
      </c>
      <c r="H26" s="20">
        <v>6.9999999999999999E-4</v>
      </c>
    </row>
    <row r="27" spans="1:8" x14ac:dyDescent="0.25">
      <c r="A27" s="1" t="s">
        <v>46</v>
      </c>
      <c r="B27">
        <v>2003</v>
      </c>
      <c r="C27" s="18">
        <v>15.5</v>
      </c>
      <c r="D27">
        <v>18.100000000000001</v>
      </c>
      <c r="E27">
        <v>12.9</v>
      </c>
      <c r="F27" s="19">
        <v>8.0000000000000004E-4</v>
      </c>
      <c r="G27" s="19">
        <v>1E-3</v>
      </c>
      <c r="H27" s="20">
        <v>6.9999999999999999E-4</v>
      </c>
    </row>
    <row r="28" spans="1:8" x14ac:dyDescent="0.25">
      <c r="A28" s="1" t="s">
        <v>46</v>
      </c>
      <c r="B28">
        <v>2004</v>
      </c>
      <c r="C28" s="18">
        <v>15.9</v>
      </c>
      <c r="D28">
        <v>18.600000000000001</v>
      </c>
      <c r="E28">
        <v>13.2</v>
      </c>
      <c r="F28" s="19">
        <v>8.9999999999999998E-4</v>
      </c>
      <c r="G28" s="19">
        <v>1E-3</v>
      </c>
      <c r="H28" s="20">
        <v>6.9999999999999999E-4</v>
      </c>
    </row>
    <row r="29" spans="1:8" x14ac:dyDescent="0.25">
      <c r="A29" s="1" t="s">
        <v>46</v>
      </c>
      <c r="B29">
        <v>2005</v>
      </c>
      <c r="C29" s="18">
        <v>16.399999999999999</v>
      </c>
      <c r="D29">
        <v>19.2</v>
      </c>
      <c r="E29">
        <v>13.7</v>
      </c>
      <c r="F29" s="19">
        <v>8.9999999999999998E-4</v>
      </c>
      <c r="G29" s="19">
        <v>1E-3</v>
      </c>
      <c r="H29" s="20">
        <v>6.9999999999999999E-4</v>
      </c>
    </row>
    <row r="30" spans="1:8" x14ac:dyDescent="0.25">
      <c r="A30" s="1" t="s">
        <v>46</v>
      </c>
      <c r="B30">
        <v>2006</v>
      </c>
      <c r="C30" s="18">
        <v>17</v>
      </c>
      <c r="D30">
        <v>19.899999999999999</v>
      </c>
      <c r="E30">
        <v>14.1</v>
      </c>
      <c r="F30" s="19">
        <v>8.9999999999999998E-4</v>
      </c>
      <c r="G30" s="19">
        <v>1.1000000000000001E-3</v>
      </c>
      <c r="H30" s="20">
        <v>8.0000000000000004E-4</v>
      </c>
    </row>
    <row r="31" spans="1:8" x14ac:dyDescent="0.25">
      <c r="A31" s="1" t="s">
        <v>46</v>
      </c>
      <c r="B31">
        <v>2007</v>
      </c>
      <c r="C31" s="18">
        <v>17.600000000000001</v>
      </c>
      <c r="D31">
        <v>20.6</v>
      </c>
      <c r="E31">
        <v>14.6</v>
      </c>
      <c r="F31" s="19">
        <v>1E-3</v>
      </c>
      <c r="G31" s="19">
        <v>1.1000000000000001E-3</v>
      </c>
      <c r="H31" s="20">
        <v>8.0000000000000004E-4</v>
      </c>
    </row>
    <row r="32" spans="1:8" x14ac:dyDescent="0.25">
      <c r="A32" s="1" t="s">
        <v>46</v>
      </c>
      <c r="B32">
        <v>2008</v>
      </c>
      <c r="C32" s="18">
        <v>18.2</v>
      </c>
      <c r="D32">
        <v>21.4</v>
      </c>
      <c r="E32">
        <v>15.2</v>
      </c>
      <c r="F32" s="19">
        <v>1E-3</v>
      </c>
      <c r="G32" s="19">
        <v>1.1999999999999999E-3</v>
      </c>
      <c r="H32" s="20">
        <v>8.0000000000000004E-4</v>
      </c>
    </row>
    <row r="33" spans="1:8" x14ac:dyDescent="0.25">
      <c r="A33" s="1" t="s">
        <v>46</v>
      </c>
      <c r="B33">
        <v>2009</v>
      </c>
      <c r="C33" s="18">
        <v>18.899999999999999</v>
      </c>
      <c r="D33">
        <v>22.2</v>
      </c>
      <c r="E33">
        <v>15.7</v>
      </c>
      <c r="F33" s="19">
        <v>1E-3</v>
      </c>
      <c r="G33" s="19">
        <v>1.1999999999999999E-3</v>
      </c>
      <c r="H33" s="20">
        <v>8.0000000000000004E-4</v>
      </c>
    </row>
    <row r="34" spans="1:8" x14ac:dyDescent="0.25">
      <c r="A34" s="1" t="s">
        <v>46</v>
      </c>
      <c r="B34">
        <v>2010</v>
      </c>
      <c r="C34" s="18">
        <v>19.600000000000001</v>
      </c>
      <c r="D34">
        <v>23</v>
      </c>
      <c r="E34">
        <v>16.2</v>
      </c>
      <c r="F34" s="19">
        <v>1.1000000000000001E-3</v>
      </c>
      <c r="G34" s="19">
        <v>1.1999999999999999E-3</v>
      </c>
      <c r="H34" s="20">
        <v>8.9999999999999998E-4</v>
      </c>
    </row>
    <row r="35" spans="1:8" x14ac:dyDescent="0.25">
      <c r="A35" s="1" t="s">
        <v>46</v>
      </c>
      <c r="B35">
        <v>2011</v>
      </c>
      <c r="C35" s="18">
        <v>20.3</v>
      </c>
      <c r="D35">
        <v>23.8</v>
      </c>
      <c r="E35">
        <v>16.7</v>
      </c>
      <c r="F35" s="19">
        <v>1.1000000000000001E-3</v>
      </c>
      <c r="G35" s="19">
        <v>1.2999999999999999E-3</v>
      </c>
      <c r="H35" s="20">
        <v>8.9999999999999998E-4</v>
      </c>
    </row>
    <row r="36" spans="1:8" x14ac:dyDescent="0.25">
      <c r="A36" s="1" t="s">
        <v>46</v>
      </c>
      <c r="B36">
        <v>2012</v>
      </c>
      <c r="C36" s="18">
        <v>21</v>
      </c>
      <c r="D36">
        <v>24.6</v>
      </c>
      <c r="E36">
        <v>17.2</v>
      </c>
      <c r="F36" s="19">
        <v>1.1000000000000001E-3</v>
      </c>
      <c r="G36" s="19">
        <v>1.2999999999999999E-3</v>
      </c>
      <c r="H36" s="20">
        <v>8.9999999999999998E-4</v>
      </c>
    </row>
    <row r="37" spans="1:8" x14ac:dyDescent="0.25">
      <c r="A37" s="1" t="s">
        <v>46</v>
      </c>
      <c r="B37">
        <v>2013</v>
      </c>
      <c r="C37" s="18">
        <v>21.6</v>
      </c>
      <c r="D37">
        <v>25.3</v>
      </c>
      <c r="E37">
        <v>17.8</v>
      </c>
      <c r="F37" s="19">
        <v>1.1999999999999999E-3</v>
      </c>
      <c r="G37" s="19">
        <v>1.4E-3</v>
      </c>
      <c r="H37" s="20">
        <v>1E-3</v>
      </c>
    </row>
    <row r="38" spans="1:8" x14ac:dyDescent="0.25">
      <c r="A38" s="1" t="s">
        <v>46</v>
      </c>
      <c r="B38">
        <v>2014</v>
      </c>
      <c r="C38" s="18">
        <v>22.3</v>
      </c>
      <c r="D38">
        <v>26</v>
      </c>
      <c r="E38">
        <v>18.399999999999999</v>
      </c>
      <c r="F38" s="19">
        <v>1.1999999999999999E-3</v>
      </c>
      <c r="G38" s="19">
        <v>1.4E-3</v>
      </c>
      <c r="H38" s="20">
        <v>1E-3</v>
      </c>
    </row>
    <row r="39" spans="1:8" x14ac:dyDescent="0.25">
      <c r="A39" s="1" t="s">
        <v>46</v>
      </c>
      <c r="B39">
        <v>2015</v>
      </c>
      <c r="C39" s="18">
        <v>23</v>
      </c>
      <c r="D39">
        <v>26.7</v>
      </c>
      <c r="E39">
        <v>19</v>
      </c>
      <c r="F39" s="19">
        <v>1.1999999999999999E-3</v>
      </c>
      <c r="G39" s="19">
        <v>1.4E-3</v>
      </c>
      <c r="H39" s="20">
        <v>1E-3</v>
      </c>
    </row>
    <row r="40" spans="1:8" x14ac:dyDescent="0.25">
      <c r="A40" s="1" t="s">
        <v>46</v>
      </c>
      <c r="B40">
        <v>2016</v>
      </c>
      <c r="C40" s="18">
        <v>23.6</v>
      </c>
      <c r="D40">
        <v>27.5</v>
      </c>
      <c r="E40">
        <v>19.5</v>
      </c>
      <c r="F40" s="19">
        <v>1.2999999999999999E-3</v>
      </c>
      <c r="G40" s="19">
        <v>1.5E-3</v>
      </c>
      <c r="H40" s="20">
        <v>1E-3</v>
      </c>
    </row>
    <row r="41" spans="1:8" x14ac:dyDescent="0.25">
      <c r="A41" s="1" t="s">
        <v>46</v>
      </c>
      <c r="B41">
        <v>2017</v>
      </c>
      <c r="C41" s="18">
        <v>24.3</v>
      </c>
      <c r="D41">
        <v>28.2</v>
      </c>
      <c r="E41">
        <v>20</v>
      </c>
      <c r="F41" s="19">
        <v>1.2999999999999999E-3</v>
      </c>
      <c r="G41" s="19">
        <v>1.5E-3</v>
      </c>
      <c r="H41" s="20">
        <v>1.1000000000000001E-3</v>
      </c>
    </row>
    <row r="42" spans="1:8" x14ac:dyDescent="0.25">
      <c r="A42" s="1" t="s">
        <v>46</v>
      </c>
      <c r="B42">
        <v>2018</v>
      </c>
      <c r="C42" s="18">
        <v>25</v>
      </c>
      <c r="D42">
        <v>28.9</v>
      </c>
      <c r="E42">
        <v>20.6</v>
      </c>
      <c r="F42" s="19">
        <v>1.2999999999999999E-3</v>
      </c>
      <c r="G42" s="19">
        <v>1.6000000000000001E-3</v>
      </c>
      <c r="H42" s="20">
        <v>1.1000000000000001E-3</v>
      </c>
    </row>
    <row r="43" spans="1:8" x14ac:dyDescent="0.25">
      <c r="A43" s="6" t="s">
        <v>46</v>
      </c>
      <c r="B43" s="8">
        <v>2019</v>
      </c>
      <c r="C43" s="21">
        <v>25.8</v>
      </c>
      <c r="D43" s="8">
        <v>29.7</v>
      </c>
      <c r="E43" s="8">
        <v>21.3</v>
      </c>
      <c r="F43" s="22">
        <v>1.4E-3</v>
      </c>
      <c r="G43" s="22">
        <v>1.6000000000000001E-3</v>
      </c>
      <c r="H43" s="23">
        <v>1.1000000000000001E-3</v>
      </c>
    </row>
    <row r="45" spans="1:8" x14ac:dyDescent="0.25">
      <c r="A45" t="s">
        <v>37</v>
      </c>
    </row>
    <row r="47" spans="1:8" x14ac:dyDescent="0.25">
      <c r="A47" t="s">
        <v>38</v>
      </c>
    </row>
    <row r="49" spans="1:1" x14ac:dyDescent="0.25">
      <c r="A4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/>
  </sheetViews>
  <sheetFormatPr defaultColWidth="11.42578125" defaultRowHeight="15" x14ac:dyDescent="0.25"/>
  <cols>
    <col min="1" max="1" width="9.28515625" customWidth="1"/>
    <col min="2" max="2" width="25.7109375" bestFit="1" customWidth="1"/>
    <col min="3" max="3" width="31.7109375" customWidth="1"/>
  </cols>
  <sheetData>
    <row r="1" spans="1:3" x14ac:dyDescent="0.25">
      <c r="A1" t="s">
        <v>258</v>
      </c>
    </row>
    <row r="2" spans="1:3" ht="15.75" thickBot="1" x14ac:dyDescent="0.3"/>
    <row r="3" spans="1:3" x14ac:dyDescent="0.25">
      <c r="A3" s="134" t="s">
        <v>2</v>
      </c>
      <c r="B3" s="135" t="s">
        <v>250</v>
      </c>
      <c r="C3" s="136" t="s">
        <v>242</v>
      </c>
    </row>
    <row r="4" spans="1:3" x14ac:dyDescent="0.25">
      <c r="A4" s="137">
        <v>2014</v>
      </c>
      <c r="B4" s="133" t="s">
        <v>251</v>
      </c>
      <c r="C4" s="142">
        <v>5.9</v>
      </c>
    </row>
    <row r="5" spans="1:3" x14ac:dyDescent="0.25">
      <c r="A5" s="137">
        <v>2015</v>
      </c>
      <c r="B5" s="133" t="s">
        <v>251</v>
      </c>
      <c r="C5" s="142">
        <v>5.63</v>
      </c>
    </row>
    <row r="6" spans="1:3" x14ac:dyDescent="0.25">
      <c r="A6" s="137">
        <v>2016</v>
      </c>
      <c r="B6" s="133" t="s">
        <v>251</v>
      </c>
      <c r="C6" s="142">
        <v>9.1300000000000008</v>
      </c>
    </row>
    <row r="7" spans="1:3" x14ac:dyDescent="0.25">
      <c r="A7" s="137">
        <v>2017</v>
      </c>
      <c r="B7" s="133" t="s">
        <v>251</v>
      </c>
      <c r="C7" s="142">
        <v>20.68</v>
      </c>
    </row>
    <row r="8" spans="1:3" x14ac:dyDescent="0.25">
      <c r="A8" s="137">
        <v>2018</v>
      </c>
      <c r="B8" s="133" t="s">
        <v>251</v>
      </c>
      <c r="C8" s="142">
        <v>23.38</v>
      </c>
    </row>
    <row r="9" spans="1:3" x14ac:dyDescent="0.25">
      <c r="A9" s="137">
        <v>2019</v>
      </c>
      <c r="B9" s="133" t="s">
        <v>251</v>
      </c>
      <c r="C9" s="142">
        <v>24.02</v>
      </c>
    </row>
    <row r="10" spans="1:3" x14ac:dyDescent="0.25">
      <c r="A10" s="137">
        <v>2020</v>
      </c>
      <c r="B10" s="133" t="s">
        <v>251</v>
      </c>
      <c r="C10" s="142">
        <v>23.74</v>
      </c>
    </row>
    <row r="11" spans="1:3" x14ac:dyDescent="0.25">
      <c r="A11" s="137">
        <v>2021</v>
      </c>
      <c r="B11" s="133" t="s">
        <v>251</v>
      </c>
      <c r="C11" s="142">
        <v>22.96</v>
      </c>
    </row>
    <row r="12" spans="1:3" x14ac:dyDescent="0.25">
      <c r="A12" s="137">
        <v>2022</v>
      </c>
      <c r="B12" s="133" t="s">
        <v>251</v>
      </c>
      <c r="C12" s="142">
        <v>23.05</v>
      </c>
    </row>
    <row r="13" spans="1:3" x14ac:dyDescent="0.25">
      <c r="A13" s="137">
        <v>2014</v>
      </c>
      <c r="B13" s="133" t="s">
        <v>252</v>
      </c>
      <c r="C13" s="142">
        <v>12.31</v>
      </c>
    </row>
    <row r="14" spans="1:3" x14ac:dyDescent="0.25">
      <c r="A14" s="137">
        <v>2015</v>
      </c>
      <c r="B14" s="133" t="s">
        <v>252</v>
      </c>
      <c r="C14" s="142">
        <v>12.98</v>
      </c>
    </row>
    <row r="15" spans="1:3" x14ac:dyDescent="0.25">
      <c r="A15" s="137">
        <v>2016</v>
      </c>
      <c r="B15" s="133" t="s">
        <v>252</v>
      </c>
      <c r="C15" s="142">
        <v>14.72</v>
      </c>
    </row>
    <row r="16" spans="1:3" x14ac:dyDescent="0.25">
      <c r="A16" s="137">
        <v>2017</v>
      </c>
      <c r="B16" s="133" t="s">
        <v>252</v>
      </c>
      <c r="C16" s="142">
        <v>18.8</v>
      </c>
    </row>
    <row r="17" spans="1:3" x14ac:dyDescent="0.25">
      <c r="A17" s="137">
        <v>2018</v>
      </c>
      <c r="B17" s="133" t="s">
        <v>252</v>
      </c>
      <c r="C17" s="142">
        <v>19.97</v>
      </c>
    </row>
    <row r="18" spans="1:3" x14ac:dyDescent="0.25">
      <c r="A18" s="137">
        <v>2019</v>
      </c>
      <c r="B18" s="133" t="s">
        <v>252</v>
      </c>
      <c r="C18" s="142">
        <v>20.309999999999999</v>
      </c>
    </row>
    <row r="19" spans="1:3" x14ac:dyDescent="0.25">
      <c r="A19" s="137">
        <v>2020</v>
      </c>
      <c r="B19" s="133" t="s">
        <v>252</v>
      </c>
      <c r="C19" s="142">
        <v>19.940000000000001</v>
      </c>
    </row>
    <row r="20" spans="1:3" x14ac:dyDescent="0.25">
      <c r="A20" s="137">
        <v>2021</v>
      </c>
      <c r="B20" s="133" t="s">
        <v>252</v>
      </c>
      <c r="C20" s="142">
        <v>19.239999999999998</v>
      </c>
    </row>
    <row r="21" spans="1:3" ht="15.75" thickBot="1" x14ac:dyDescent="0.3">
      <c r="A21" s="139">
        <v>2022</v>
      </c>
      <c r="B21" s="140" t="s">
        <v>252</v>
      </c>
      <c r="C21" s="143">
        <v>19.32</v>
      </c>
    </row>
    <row r="23" spans="1:3" x14ac:dyDescent="0.25">
      <c r="A23" t="s">
        <v>73</v>
      </c>
    </row>
    <row r="25" spans="1:3" x14ac:dyDescent="0.25">
      <c r="A25" t="s">
        <v>211</v>
      </c>
    </row>
    <row r="27" spans="1:3" x14ac:dyDescent="0.25">
      <c r="A2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ColWidth="11.42578125" defaultRowHeight="15" x14ac:dyDescent="0.25"/>
  <cols>
    <col min="1" max="2" width="27.7109375" customWidth="1"/>
    <col min="3" max="3" width="26.7109375" customWidth="1"/>
    <col min="4" max="4" width="20.7109375" customWidth="1"/>
    <col min="5" max="5" width="31.7109375" customWidth="1"/>
    <col min="6" max="6" width="27.7109375" customWidth="1"/>
  </cols>
  <sheetData>
    <row r="1" spans="1:6" x14ac:dyDescent="0.25">
      <c r="A1" t="s">
        <v>259</v>
      </c>
    </row>
    <row r="3" spans="1:6" x14ac:dyDescent="0.25">
      <c r="A3" s="4" t="s">
        <v>260</v>
      </c>
      <c r="B3" s="3" t="s">
        <v>210</v>
      </c>
      <c r="C3" s="3" t="s">
        <v>244</v>
      </c>
      <c r="D3" s="3" t="s">
        <v>245</v>
      </c>
      <c r="E3" s="3" t="s">
        <v>242</v>
      </c>
      <c r="F3" s="5" t="s">
        <v>243</v>
      </c>
    </row>
    <row r="4" spans="1:6" x14ac:dyDescent="0.25">
      <c r="A4" s="1" t="s">
        <v>252</v>
      </c>
      <c r="B4" s="78">
        <v>84.9</v>
      </c>
      <c r="C4" s="78">
        <v>634.5</v>
      </c>
      <c r="D4" s="78">
        <v>21.2</v>
      </c>
      <c r="E4" s="115">
        <v>19.3</v>
      </c>
      <c r="F4" s="82">
        <v>2.4</v>
      </c>
    </row>
    <row r="5" spans="1:6" x14ac:dyDescent="0.25">
      <c r="A5" s="6" t="s">
        <v>251</v>
      </c>
      <c r="B5" s="79">
        <v>39.1</v>
      </c>
      <c r="C5" s="79">
        <v>329.6</v>
      </c>
      <c r="D5" s="79">
        <v>7.4</v>
      </c>
      <c r="E5" s="116">
        <v>23</v>
      </c>
      <c r="F5" s="83">
        <v>5.4</v>
      </c>
    </row>
    <row r="7" spans="1:6" x14ac:dyDescent="0.25">
      <c r="A7" t="s">
        <v>73</v>
      </c>
    </row>
    <row r="9" spans="1:6" x14ac:dyDescent="0.25">
      <c r="A9" t="s">
        <v>211</v>
      </c>
    </row>
    <row r="11" spans="1:6" x14ac:dyDescent="0.25">
      <c r="A1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/>
  </sheetViews>
  <sheetFormatPr defaultColWidth="11.42578125" defaultRowHeight="15" x14ac:dyDescent="0.25"/>
  <cols>
    <col min="1" max="1" width="6.7109375" customWidth="1"/>
    <col min="2" max="3" width="27.7109375" customWidth="1"/>
    <col min="4" max="4" width="26.7109375" customWidth="1"/>
    <col min="5" max="5" width="30.7109375" customWidth="1"/>
  </cols>
  <sheetData>
    <row r="1" spans="1:5" x14ac:dyDescent="0.25">
      <c r="A1" t="s">
        <v>274</v>
      </c>
    </row>
    <row r="3" spans="1:5" x14ac:dyDescent="0.25">
      <c r="A3" s="4" t="s">
        <v>2</v>
      </c>
      <c r="B3" s="3" t="s">
        <v>260</v>
      </c>
      <c r="C3" s="3" t="s">
        <v>210</v>
      </c>
      <c r="D3" s="3" t="s">
        <v>244</v>
      </c>
      <c r="E3" s="5" t="s">
        <v>275</v>
      </c>
    </row>
    <row r="4" spans="1:5" x14ac:dyDescent="0.25">
      <c r="A4" s="1">
        <v>2019</v>
      </c>
      <c r="B4" t="s">
        <v>252</v>
      </c>
      <c r="C4" s="84">
        <v>103.8</v>
      </c>
      <c r="D4" s="84">
        <v>785.4</v>
      </c>
      <c r="E4" s="85">
        <v>26.5</v>
      </c>
    </row>
    <row r="5" spans="1:5" x14ac:dyDescent="0.25">
      <c r="A5" s="1">
        <v>2019</v>
      </c>
      <c r="B5" t="s">
        <v>276</v>
      </c>
      <c r="C5" s="84">
        <v>138.1</v>
      </c>
      <c r="D5" s="84">
        <v>774.1</v>
      </c>
      <c r="E5" s="85">
        <v>29.7</v>
      </c>
    </row>
    <row r="6" spans="1:5" x14ac:dyDescent="0.25">
      <c r="A6" s="1">
        <v>2019</v>
      </c>
      <c r="B6" t="s">
        <v>251</v>
      </c>
      <c r="C6" s="84">
        <v>43.1</v>
      </c>
      <c r="D6" s="84">
        <v>383.5</v>
      </c>
      <c r="E6" s="85">
        <v>30.4</v>
      </c>
    </row>
    <row r="7" spans="1:5" x14ac:dyDescent="0.25">
      <c r="A7" s="1">
        <v>2020</v>
      </c>
      <c r="B7" t="s">
        <v>252</v>
      </c>
      <c r="C7" s="84">
        <v>98.5</v>
      </c>
      <c r="D7" s="84">
        <v>817.9</v>
      </c>
      <c r="E7" s="85">
        <v>27.8</v>
      </c>
    </row>
    <row r="8" spans="1:5" x14ac:dyDescent="0.25">
      <c r="A8" s="1">
        <v>2020</v>
      </c>
      <c r="B8" t="s">
        <v>276</v>
      </c>
      <c r="C8" s="84">
        <v>134.80000000000001</v>
      </c>
      <c r="D8" s="84">
        <v>811.8</v>
      </c>
      <c r="E8" s="85">
        <v>32.799999999999997</v>
      </c>
    </row>
    <row r="9" spans="1:5" x14ac:dyDescent="0.25">
      <c r="A9" s="1">
        <v>2020</v>
      </c>
      <c r="B9" t="s">
        <v>251</v>
      </c>
      <c r="C9" s="84">
        <v>41.1</v>
      </c>
      <c r="D9" s="84">
        <v>391.6</v>
      </c>
      <c r="E9" s="85">
        <v>31.5</v>
      </c>
    </row>
    <row r="10" spans="1:5" x14ac:dyDescent="0.25">
      <c r="A10" s="1">
        <v>2021</v>
      </c>
      <c r="B10" t="s">
        <v>252</v>
      </c>
      <c r="C10" s="84">
        <v>103</v>
      </c>
      <c r="D10" s="84">
        <v>809.6</v>
      </c>
      <c r="E10" s="85">
        <v>27.2</v>
      </c>
    </row>
    <row r="11" spans="1:5" x14ac:dyDescent="0.25">
      <c r="A11" s="1">
        <v>2021</v>
      </c>
      <c r="B11" t="s">
        <v>276</v>
      </c>
      <c r="C11" s="84">
        <v>144.19999999999999</v>
      </c>
      <c r="D11" s="84">
        <v>802.6</v>
      </c>
      <c r="E11" s="85">
        <v>33</v>
      </c>
    </row>
    <row r="12" spans="1:5" x14ac:dyDescent="0.25">
      <c r="A12" s="1">
        <v>2021</v>
      </c>
      <c r="B12" t="s">
        <v>251</v>
      </c>
      <c r="C12" s="84">
        <v>42.3</v>
      </c>
      <c r="D12" s="84">
        <v>381.2</v>
      </c>
      <c r="E12" s="85">
        <v>30.5</v>
      </c>
    </row>
    <row r="13" spans="1:5" x14ac:dyDescent="0.25">
      <c r="A13" s="1">
        <v>2022</v>
      </c>
      <c r="B13" t="s">
        <v>252</v>
      </c>
      <c r="C13" s="84">
        <v>108.8</v>
      </c>
      <c r="D13" s="84">
        <v>852.4</v>
      </c>
      <c r="E13" s="85">
        <v>28.2</v>
      </c>
    </row>
    <row r="14" spans="1:5" x14ac:dyDescent="0.25">
      <c r="A14" s="1">
        <v>2022</v>
      </c>
      <c r="B14" t="s">
        <v>276</v>
      </c>
      <c r="C14" s="84">
        <v>154.4</v>
      </c>
      <c r="D14" s="84">
        <v>852.4</v>
      </c>
      <c r="E14" s="85">
        <v>36.200000000000003</v>
      </c>
    </row>
    <row r="15" spans="1:5" x14ac:dyDescent="0.25">
      <c r="A15" s="6">
        <v>2022</v>
      </c>
      <c r="B15" s="8" t="s">
        <v>251</v>
      </c>
      <c r="C15" s="86">
        <v>44.7</v>
      </c>
      <c r="D15" s="86">
        <v>396.8</v>
      </c>
      <c r="E15" s="87">
        <v>30.9</v>
      </c>
    </row>
    <row r="17" spans="1:1" x14ac:dyDescent="0.25">
      <c r="A17" t="s">
        <v>262</v>
      </c>
    </row>
    <row r="19" spans="1:1" x14ac:dyDescent="0.25">
      <c r="A19" t="s">
        <v>263</v>
      </c>
    </row>
    <row r="21" spans="1:1" x14ac:dyDescent="0.25">
      <c r="A2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ColWidth="11.42578125" defaultRowHeight="15" x14ac:dyDescent="0.25"/>
  <cols>
    <col min="1" max="1" width="6.7109375" customWidth="1"/>
    <col min="2" max="2" width="15.7109375" customWidth="1"/>
    <col min="3" max="3" width="27.7109375" customWidth="1"/>
  </cols>
  <sheetData>
    <row r="1" spans="1:3" x14ac:dyDescent="0.25">
      <c r="A1" t="s">
        <v>261</v>
      </c>
    </row>
    <row r="3" spans="1:3" x14ac:dyDescent="0.25">
      <c r="A3" s="4" t="s">
        <v>2</v>
      </c>
      <c r="B3" s="3" t="s">
        <v>67</v>
      </c>
      <c r="C3" s="5" t="s">
        <v>210</v>
      </c>
    </row>
    <row r="4" spans="1:3" x14ac:dyDescent="0.25">
      <c r="A4" s="1">
        <v>2019</v>
      </c>
      <c r="B4" t="s">
        <v>69</v>
      </c>
      <c r="C4" s="80">
        <v>5.7</v>
      </c>
    </row>
    <row r="5" spans="1:3" x14ac:dyDescent="0.25">
      <c r="A5" s="1">
        <v>2019</v>
      </c>
      <c r="B5" t="s">
        <v>70</v>
      </c>
      <c r="C5" s="80">
        <v>17.7</v>
      </c>
    </row>
    <row r="6" spans="1:3" x14ac:dyDescent="0.25">
      <c r="A6" s="1">
        <v>2019</v>
      </c>
      <c r="B6" t="s">
        <v>71</v>
      </c>
      <c r="C6" s="80">
        <v>30.8</v>
      </c>
    </row>
    <row r="7" spans="1:3" x14ac:dyDescent="0.25">
      <c r="A7" s="1">
        <v>2019</v>
      </c>
      <c r="B7" t="s">
        <v>72</v>
      </c>
      <c r="C7" s="80">
        <v>18</v>
      </c>
    </row>
    <row r="8" spans="1:3" x14ac:dyDescent="0.25">
      <c r="A8" s="1">
        <v>2020</v>
      </c>
      <c r="B8" t="s">
        <v>69</v>
      </c>
      <c r="C8" s="80">
        <v>5.0999999999999996</v>
      </c>
    </row>
    <row r="9" spans="1:3" x14ac:dyDescent="0.25">
      <c r="A9" s="1">
        <v>2020</v>
      </c>
      <c r="B9" t="s">
        <v>70</v>
      </c>
      <c r="C9" s="80">
        <v>17.7</v>
      </c>
    </row>
    <row r="10" spans="1:3" x14ac:dyDescent="0.25">
      <c r="A10" s="1">
        <v>2020</v>
      </c>
      <c r="B10" t="s">
        <v>71</v>
      </c>
      <c r="C10" s="80">
        <v>29.1</v>
      </c>
    </row>
    <row r="11" spans="1:3" x14ac:dyDescent="0.25">
      <c r="A11" s="1">
        <v>2020</v>
      </c>
      <c r="B11" t="s">
        <v>72</v>
      </c>
      <c r="C11" s="80">
        <v>17.899999999999999</v>
      </c>
    </row>
    <row r="12" spans="1:3" x14ac:dyDescent="0.25">
      <c r="A12" s="1">
        <v>2021</v>
      </c>
      <c r="B12" t="s">
        <v>69</v>
      </c>
      <c r="C12" s="80">
        <v>5.5</v>
      </c>
    </row>
    <row r="13" spans="1:3" x14ac:dyDescent="0.25">
      <c r="A13" s="1">
        <v>2021</v>
      </c>
      <c r="B13" t="s">
        <v>70</v>
      </c>
      <c r="C13" s="80">
        <v>19.2</v>
      </c>
    </row>
    <row r="14" spans="1:3" x14ac:dyDescent="0.25">
      <c r="A14" s="1">
        <v>2021</v>
      </c>
      <c r="B14" t="s">
        <v>71</v>
      </c>
      <c r="C14" s="80">
        <v>30.3</v>
      </c>
    </row>
    <row r="15" spans="1:3" x14ac:dyDescent="0.25">
      <c r="A15" s="1">
        <v>2021</v>
      </c>
      <c r="B15" t="s">
        <v>72</v>
      </c>
      <c r="C15" s="80">
        <v>18</v>
      </c>
    </row>
    <row r="16" spans="1:3" x14ac:dyDescent="0.25">
      <c r="A16" s="1">
        <v>2022</v>
      </c>
      <c r="B16" t="s">
        <v>69</v>
      </c>
      <c r="C16" s="80">
        <v>5.7</v>
      </c>
    </row>
    <row r="17" spans="1:3" x14ac:dyDescent="0.25">
      <c r="A17" s="1">
        <v>2022</v>
      </c>
      <c r="B17" t="s">
        <v>70</v>
      </c>
      <c r="C17" s="80">
        <v>20.8</v>
      </c>
    </row>
    <row r="18" spans="1:3" x14ac:dyDescent="0.25">
      <c r="A18" s="1">
        <v>2022</v>
      </c>
      <c r="B18" t="s">
        <v>71</v>
      </c>
      <c r="C18" s="80">
        <v>32.4</v>
      </c>
    </row>
    <row r="19" spans="1:3" x14ac:dyDescent="0.25">
      <c r="A19" s="6">
        <v>2022</v>
      </c>
      <c r="B19" s="8" t="s">
        <v>72</v>
      </c>
      <c r="C19" s="81">
        <v>18.5</v>
      </c>
    </row>
    <row r="21" spans="1:3" x14ac:dyDescent="0.25">
      <c r="A21" t="s">
        <v>262</v>
      </c>
    </row>
    <row r="23" spans="1:3" x14ac:dyDescent="0.25">
      <c r="A23" t="s">
        <v>263</v>
      </c>
    </row>
    <row r="25" spans="1:3" x14ac:dyDescent="0.25">
      <c r="A25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ColWidth="11.42578125" defaultRowHeight="15" x14ac:dyDescent="0.25"/>
  <cols>
    <col min="1" max="1" width="6.7109375" customWidth="1"/>
    <col min="2" max="2" width="15.7109375" customWidth="1"/>
    <col min="3" max="3" width="27.7109375" customWidth="1"/>
  </cols>
  <sheetData>
    <row r="1" spans="1:3" x14ac:dyDescent="0.25">
      <c r="A1" t="s">
        <v>264</v>
      </c>
    </row>
    <row r="3" spans="1:3" x14ac:dyDescent="0.25">
      <c r="A3" s="4" t="s">
        <v>2</v>
      </c>
      <c r="B3" s="3" t="s">
        <v>67</v>
      </c>
      <c r="C3" s="5" t="s">
        <v>210</v>
      </c>
    </row>
    <row r="4" spans="1:3" x14ac:dyDescent="0.25">
      <c r="A4" s="1">
        <v>2019</v>
      </c>
      <c r="B4" t="s">
        <v>69</v>
      </c>
      <c r="C4" s="82">
        <v>5.7</v>
      </c>
    </row>
    <row r="5" spans="1:3" x14ac:dyDescent="0.25">
      <c r="A5" s="1">
        <v>2019</v>
      </c>
      <c r="B5" t="s">
        <v>70</v>
      </c>
      <c r="C5" s="82">
        <v>24.9</v>
      </c>
    </row>
    <row r="6" spans="1:3" x14ac:dyDescent="0.25">
      <c r="A6" s="1">
        <v>2019</v>
      </c>
      <c r="B6" t="s">
        <v>71</v>
      </c>
      <c r="C6" s="82">
        <v>66.099999999999994</v>
      </c>
    </row>
    <row r="7" spans="1:3" x14ac:dyDescent="0.25">
      <c r="A7" s="1">
        <v>2019</v>
      </c>
      <c r="B7" t="s">
        <v>72</v>
      </c>
      <c r="C7" s="82">
        <v>50.9</v>
      </c>
    </row>
    <row r="8" spans="1:3" x14ac:dyDescent="0.25">
      <c r="A8" s="1">
        <v>2020</v>
      </c>
      <c r="B8" t="s">
        <v>69</v>
      </c>
      <c r="C8" s="82">
        <v>5</v>
      </c>
    </row>
    <row r="9" spans="1:3" x14ac:dyDescent="0.25">
      <c r="A9" s="1">
        <v>2020</v>
      </c>
      <c r="B9" t="s">
        <v>70</v>
      </c>
      <c r="C9" s="82">
        <v>24.7</v>
      </c>
    </row>
    <row r="10" spans="1:3" x14ac:dyDescent="0.25">
      <c r="A10" s="1">
        <v>2020</v>
      </c>
      <c r="B10" t="s">
        <v>71</v>
      </c>
      <c r="C10" s="82">
        <v>61.6</v>
      </c>
    </row>
    <row r="11" spans="1:3" x14ac:dyDescent="0.25">
      <c r="A11" s="1">
        <v>2020</v>
      </c>
      <c r="B11" t="s">
        <v>72</v>
      </c>
      <c r="C11" s="82">
        <v>51.2</v>
      </c>
    </row>
    <row r="12" spans="1:3" x14ac:dyDescent="0.25">
      <c r="A12" s="1">
        <v>2021</v>
      </c>
      <c r="B12" t="s">
        <v>69</v>
      </c>
      <c r="C12" s="82">
        <v>5.5</v>
      </c>
    </row>
    <row r="13" spans="1:3" x14ac:dyDescent="0.25">
      <c r="A13" s="1">
        <v>2021</v>
      </c>
      <c r="B13" t="s">
        <v>70</v>
      </c>
      <c r="C13" s="82">
        <v>26.9</v>
      </c>
    </row>
    <row r="14" spans="1:3" x14ac:dyDescent="0.25">
      <c r="A14" s="1">
        <v>2021</v>
      </c>
      <c r="B14" t="s">
        <v>71</v>
      </c>
      <c r="C14" s="82">
        <v>64.099999999999994</v>
      </c>
    </row>
    <row r="15" spans="1:3" x14ac:dyDescent="0.25">
      <c r="A15" s="1">
        <v>2021</v>
      </c>
      <c r="B15" t="s">
        <v>72</v>
      </c>
      <c r="C15" s="82">
        <v>53.6</v>
      </c>
    </row>
    <row r="16" spans="1:3" x14ac:dyDescent="0.25">
      <c r="A16" s="1">
        <v>2022</v>
      </c>
      <c r="B16" t="s">
        <v>69</v>
      </c>
      <c r="C16" s="82">
        <v>5.7</v>
      </c>
    </row>
    <row r="17" spans="1:3" x14ac:dyDescent="0.25">
      <c r="A17" s="1">
        <v>2022</v>
      </c>
      <c r="B17" t="s">
        <v>70</v>
      </c>
      <c r="C17" s="82">
        <v>29.7</v>
      </c>
    </row>
    <row r="18" spans="1:3" x14ac:dyDescent="0.25">
      <c r="A18" s="1">
        <v>2022</v>
      </c>
      <c r="B18" t="s">
        <v>71</v>
      </c>
      <c r="C18" s="82">
        <v>68</v>
      </c>
    </row>
    <row r="19" spans="1:3" x14ac:dyDescent="0.25">
      <c r="A19" s="6">
        <v>2022</v>
      </c>
      <c r="B19" s="8" t="s">
        <v>72</v>
      </c>
      <c r="C19" s="83">
        <v>55.9</v>
      </c>
    </row>
    <row r="21" spans="1:3" x14ac:dyDescent="0.25">
      <c r="A21" t="s">
        <v>262</v>
      </c>
    </row>
    <row r="23" spans="1:3" x14ac:dyDescent="0.25">
      <c r="A23" t="s">
        <v>263</v>
      </c>
    </row>
    <row r="25" spans="1:3" x14ac:dyDescent="0.25">
      <c r="A25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ColWidth="11.42578125" defaultRowHeight="15" x14ac:dyDescent="0.25"/>
  <cols>
    <col min="1" max="1" width="6.7109375" customWidth="1"/>
    <col min="2" max="2" width="15.7109375" customWidth="1"/>
    <col min="3" max="3" width="26.7109375" customWidth="1"/>
  </cols>
  <sheetData>
    <row r="1" spans="1:3" x14ac:dyDescent="0.25">
      <c r="A1" t="s">
        <v>265</v>
      </c>
    </row>
    <row r="3" spans="1:3" x14ac:dyDescent="0.25">
      <c r="A3" s="4" t="s">
        <v>2</v>
      </c>
      <c r="B3" s="3" t="s">
        <v>67</v>
      </c>
      <c r="C3" s="5" t="s">
        <v>266</v>
      </c>
    </row>
    <row r="4" spans="1:3" x14ac:dyDescent="0.25">
      <c r="A4" s="1">
        <v>2019</v>
      </c>
      <c r="B4" t="s">
        <v>69</v>
      </c>
      <c r="C4" s="82">
        <v>6.6</v>
      </c>
    </row>
    <row r="5" spans="1:3" x14ac:dyDescent="0.25">
      <c r="A5" s="1">
        <v>2019</v>
      </c>
      <c r="B5" t="s">
        <v>70</v>
      </c>
      <c r="C5" s="82">
        <v>8.3000000000000007</v>
      </c>
    </row>
    <row r="6" spans="1:3" x14ac:dyDescent="0.25">
      <c r="A6" s="1">
        <v>2019</v>
      </c>
      <c r="B6" t="s">
        <v>71</v>
      </c>
      <c r="C6" s="82">
        <v>9.1</v>
      </c>
    </row>
    <row r="7" spans="1:3" x14ac:dyDescent="0.25">
      <c r="A7" s="1">
        <v>2019</v>
      </c>
      <c r="B7" t="s">
        <v>72</v>
      </c>
      <c r="C7" s="82">
        <v>8.8000000000000007</v>
      </c>
    </row>
    <row r="8" spans="1:3" x14ac:dyDescent="0.25">
      <c r="A8" s="1">
        <v>2020</v>
      </c>
      <c r="B8" t="s">
        <v>69</v>
      </c>
      <c r="C8" s="82">
        <v>7.3</v>
      </c>
    </row>
    <row r="9" spans="1:3" x14ac:dyDescent="0.25">
      <c r="A9" s="1">
        <v>2020</v>
      </c>
      <c r="B9" t="s">
        <v>70</v>
      </c>
      <c r="C9" s="82">
        <v>8.9</v>
      </c>
    </row>
    <row r="10" spans="1:3" x14ac:dyDescent="0.25">
      <c r="A10" s="1">
        <v>2020</v>
      </c>
      <c r="B10" t="s">
        <v>71</v>
      </c>
      <c r="C10" s="82">
        <v>9.8000000000000007</v>
      </c>
    </row>
    <row r="11" spans="1:3" x14ac:dyDescent="0.25">
      <c r="A11" s="1">
        <v>2020</v>
      </c>
      <c r="B11" t="s">
        <v>72</v>
      </c>
      <c r="C11" s="82">
        <v>9.4</v>
      </c>
    </row>
    <row r="12" spans="1:3" x14ac:dyDescent="0.25">
      <c r="A12" s="1">
        <v>2021</v>
      </c>
      <c r="B12" t="s">
        <v>69</v>
      </c>
      <c r="C12" s="82">
        <v>6.8</v>
      </c>
    </row>
    <row r="13" spans="1:3" x14ac:dyDescent="0.25">
      <c r="A13" s="1">
        <v>2021</v>
      </c>
      <c r="B13" t="s">
        <v>70</v>
      </c>
      <c r="C13" s="82">
        <v>8.4</v>
      </c>
    </row>
    <row r="14" spans="1:3" x14ac:dyDescent="0.25">
      <c r="A14" s="1">
        <v>2021</v>
      </c>
      <c r="B14" t="s">
        <v>71</v>
      </c>
      <c r="C14" s="82">
        <v>9.1</v>
      </c>
    </row>
    <row r="15" spans="1:3" x14ac:dyDescent="0.25">
      <c r="A15" s="1">
        <v>2021</v>
      </c>
      <c r="B15" t="s">
        <v>72</v>
      </c>
      <c r="C15" s="82">
        <v>8.9</v>
      </c>
    </row>
    <row r="16" spans="1:3" x14ac:dyDescent="0.25">
      <c r="A16" s="1">
        <v>2022</v>
      </c>
      <c r="B16" t="s">
        <v>69</v>
      </c>
      <c r="C16" s="82">
        <v>6.6</v>
      </c>
    </row>
    <row r="17" spans="1:3" x14ac:dyDescent="0.25">
      <c r="A17" s="1">
        <v>2022</v>
      </c>
      <c r="B17" t="s">
        <v>70</v>
      </c>
      <c r="C17" s="82">
        <v>8.3000000000000007</v>
      </c>
    </row>
    <row r="18" spans="1:3" x14ac:dyDescent="0.25">
      <c r="A18" s="1">
        <v>2022</v>
      </c>
      <c r="B18" t="s">
        <v>71</v>
      </c>
      <c r="C18" s="82">
        <v>9.1999999999999993</v>
      </c>
    </row>
    <row r="19" spans="1:3" x14ac:dyDescent="0.25">
      <c r="A19" s="6">
        <v>2022</v>
      </c>
      <c r="B19" s="8" t="s">
        <v>72</v>
      </c>
      <c r="C19" s="83">
        <v>8.8000000000000007</v>
      </c>
    </row>
    <row r="21" spans="1:3" x14ac:dyDescent="0.25">
      <c r="A21" t="s">
        <v>262</v>
      </c>
    </row>
    <row r="23" spans="1:3" x14ac:dyDescent="0.25">
      <c r="A23" t="s">
        <v>263</v>
      </c>
    </row>
    <row r="25" spans="1:3" x14ac:dyDescent="0.25">
      <c r="A25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ColWidth="11.42578125" defaultRowHeight="15" x14ac:dyDescent="0.25"/>
  <cols>
    <col min="1" max="1" width="6.7109375" customWidth="1"/>
    <col min="2" max="2" width="15.7109375" customWidth="1"/>
    <col min="3" max="3" width="26.7109375" customWidth="1"/>
  </cols>
  <sheetData>
    <row r="1" spans="1:3" x14ac:dyDescent="0.25">
      <c r="A1" t="s">
        <v>267</v>
      </c>
    </row>
    <row r="3" spans="1:3" x14ac:dyDescent="0.25">
      <c r="A3" s="4" t="s">
        <v>2</v>
      </c>
      <c r="B3" s="3" t="s">
        <v>67</v>
      </c>
      <c r="C3" s="5" t="s">
        <v>266</v>
      </c>
    </row>
    <row r="4" spans="1:3" x14ac:dyDescent="0.25">
      <c r="A4" s="1">
        <v>2019</v>
      </c>
      <c r="B4" t="s">
        <v>69</v>
      </c>
      <c r="C4" s="82">
        <v>6.8</v>
      </c>
    </row>
    <row r="5" spans="1:3" x14ac:dyDescent="0.25">
      <c r="A5" s="1">
        <v>2019</v>
      </c>
      <c r="B5" t="s">
        <v>70</v>
      </c>
      <c r="C5" s="82">
        <v>8.5</v>
      </c>
    </row>
    <row r="6" spans="1:3" x14ac:dyDescent="0.25">
      <c r="A6" s="1">
        <v>2019</v>
      </c>
      <c r="B6" t="s">
        <v>71</v>
      </c>
      <c r="C6" s="82">
        <v>9.3000000000000007</v>
      </c>
    </row>
    <row r="7" spans="1:3" x14ac:dyDescent="0.25">
      <c r="A7" s="1">
        <v>2019</v>
      </c>
      <c r="B7" t="s">
        <v>72</v>
      </c>
      <c r="C7" s="82">
        <v>8.9</v>
      </c>
    </row>
    <row r="8" spans="1:3" x14ac:dyDescent="0.25">
      <c r="A8" s="1">
        <v>2020</v>
      </c>
      <c r="B8" t="s">
        <v>69</v>
      </c>
      <c r="C8" s="82">
        <v>7.5</v>
      </c>
    </row>
    <row r="9" spans="1:3" x14ac:dyDescent="0.25">
      <c r="A9" s="1">
        <v>2020</v>
      </c>
      <c r="B9" t="s">
        <v>70</v>
      </c>
      <c r="C9" s="82">
        <v>9.1999999999999993</v>
      </c>
    </row>
    <row r="10" spans="1:3" x14ac:dyDescent="0.25">
      <c r="A10" s="1">
        <v>2020</v>
      </c>
      <c r="B10" t="s">
        <v>71</v>
      </c>
      <c r="C10" s="82">
        <v>10</v>
      </c>
    </row>
    <row r="11" spans="1:3" x14ac:dyDescent="0.25">
      <c r="A11" s="1">
        <v>2020</v>
      </c>
      <c r="B11" t="s">
        <v>72</v>
      </c>
      <c r="C11" s="82">
        <v>9.6</v>
      </c>
    </row>
    <row r="12" spans="1:3" x14ac:dyDescent="0.25">
      <c r="A12" s="1">
        <v>2021</v>
      </c>
      <c r="B12" t="s">
        <v>69</v>
      </c>
      <c r="C12" s="82">
        <v>6.8</v>
      </c>
    </row>
    <row r="13" spans="1:3" x14ac:dyDescent="0.25">
      <c r="A13" s="1">
        <v>2021</v>
      </c>
      <c r="B13" t="s">
        <v>70</v>
      </c>
      <c r="C13" s="82">
        <v>8.6999999999999993</v>
      </c>
    </row>
    <row r="14" spans="1:3" x14ac:dyDescent="0.25">
      <c r="A14" s="1">
        <v>2021</v>
      </c>
      <c r="B14" t="s">
        <v>71</v>
      </c>
      <c r="C14" s="82">
        <v>9.4</v>
      </c>
    </row>
    <row r="15" spans="1:3" x14ac:dyDescent="0.25">
      <c r="A15" s="1">
        <v>2021</v>
      </c>
      <c r="B15" t="s">
        <v>72</v>
      </c>
      <c r="C15" s="82">
        <v>9</v>
      </c>
    </row>
    <row r="16" spans="1:3" x14ac:dyDescent="0.25">
      <c r="A16" s="1">
        <v>2022</v>
      </c>
      <c r="B16" t="s">
        <v>69</v>
      </c>
      <c r="C16" s="82">
        <v>6.6</v>
      </c>
    </row>
    <row r="17" spans="1:3" x14ac:dyDescent="0.25">
      <c r="A17" s="1">
        <v>2022</v>
      </c>
      <c r="B17" t="s">
        <v>70</v>
      </c>
      <c r="C17" s="82">
        <v>8.5</v>
      </c>
    </row>
    <row r="18" spans="1:3" x14ac:dyDescent="0.25">
      <c r="A18" s="1">
        <v>2022</v>
      </c>
      <c r="B18" t="s">
        <v>71</v>
      </c>
      <c r="C18" s="82">
        <v>9.4</v>
      </c>
    </row>
    <row r="19" spans="1:3" x14ac:dyDescent="0.25">
      <c r="A19" s="6">
        <v>2022</v>
      </c>
      <c r="B19" s="8" t="s">
        <v>72</v>
      </c>
      <c r="C19" s="83">
        <v>9</v>
      </c>
    </row>
    <row r="21" spans="1:3" x14ac:dyDescent="0.25">
      <c r="A21" t="s">
        <v>262</v>
      </c>
    </row>
    <row r="23" spans="1:3" x14ac:dyDescent="0.25">
      <c r="A23" t="s">
        <v>263</v>
      </c>
    </row>
    <row r="25" spans="1:3" x14ac:dyDescent="0.25">
      <c r="A25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/>
  </sheetViews>
  <sheetFormatPr defaultColWidth="11.42578125" defaultRowHeight="15" x14ac:dyDescent="0.25"/>
  <cols>
    <col min="1" max="1" width="6.7109375" customWidth="1"/>
    <col min="2" max="2" width="39.7109375" customWidth="1"/>
    <col min="3" max="3" width="21.7109375" customWidth="1"/>
  </cols>
  <sheetData>
    <row r="1" spans="1:3" x14ac:dyDescent="0.25">
      <c r="A1" t="s">
        <v>268</v>
      </c>
    </row>
    <row r="3" spans="1:3" x14ac:dyDescent="0.25">
      <c r="A3" s="4" t="s">
        <v>2</v>
      </c>
      <c r="B3" s="3" t="s">
        <v>269</v>
      </c>
      <c r="C3" s="5" t="s">
        <v>270</v>
      </c>
    </row>
    <row r="4" spans="1:3" x14ac:dyDescent="0.25">
      <c r="A4" s="1">
        <v>2019</v>
      </c>
      <c r="B4" t="s">
        <v>271</v>
      </c>
      <c r="C4" s="118">
        <v>9.7000000000000003E-2</v>
      </c>
    </row>
    <row r="5" spans="1:3" x14ac:dyDescent="0.25">
      <c r="A5" s="1">
        <v>2019</v>
      </c>
      <c r="B5" t="s">
        <v>272</v>
      </c>
      <c r="C5" s="118">
        <v>0.41</v>
      </c>
    </row>
    <row r="6" spans="1:3" x14ac:dyDescent="0.25">
      <c r="A6" s="1">
        <v>2019</v>
      </c>
      <c r="B6" t="s">
        <v>273</v>
      </c>
      <c r="C6" s="118">
        <v>0.49299999999999999</v>
      </c>
    </row>
    <row r="7" spans="1:3" x14ac:dyDescent="0.25">
      <c r="A7" s="1">
        <v>2020</v>
      </c>
      <c r="B7" t="s">
        <v>271</v>
      </c>
      <c r="C7" s="118">
        <v>0.11</v>
      </c>
    </row>
    <row r="8" spans="1:3" x14ac:dyDescent="0.25">
      <c r="A8" s="1">
        <v>2020</v>
      </c>
      <c r="B8" t="s">
        <v>272</v>
      </c>
      <c r="C8" s="118">
        <v>0.41599999999999998</v>
      </c>
    </row>
    <row r="9" spans="1:3" x14ac:dyDescent="0.25">
      <c r="A9" s="1">
        <v>2020</v>
      </c>
      <c r="B9" t="s">
        <v>273</v>
      </c>
      <c r="C9" s="118">
        <v>0.47399999999999998</v>
      </c>
    </row>
    <row r="10" spans="1:3" x14ac:dyDescent="0.25">
      <c r="A10" s="1">
        <v>2021</v>
      </c>
      <c r="B10" t="s">
        <v>271</v>
      </c>
      <c r="C10" s="118">
        <v>0.121</v>
      </c>
    </row>
    <row r="11" spans="1:3" x14ac:dyDescent="0.25">
      <c r="A11" s="1">
        <v>2021</v>
      </c>
      <c r="B11" t="s">
        <v>272</v>
      </c>
      <c r="C11" s="118">
        <v>0.41199999999999998</v>
      </c>
    </row>
    <row r="12" spans="1:3" x14ac:dyDescent="0.25">
      <c r="A12" s="1">
        <v>2021</v>
      </c>
      <c r="B12" t="s">
        <v>273</v>
      </c>
      <c r="C12" s="118">
        <v>0.46700000000000003</v>
      </c>
    </row>
    <row r="13" spans="1:3" x14ac:dyDescent="0.25">
      <c r="A13" s="1">
        <v>2022</v>
      </c>
      <c r="B13" t="s">
        <v>271</v>
      </c>
      <c r="C13" s="118">
        <v>0.13200000000000001</v>
      </c>
    </row>
    <row r="14" spans="1:3" x14ac:dyDescent="0.25">
      <c r="A14" s="1">
        <v>2022</v>
      </c>
      <c r="B14" t="s">
        <v>272</v>
      </c>
      <c r="C14" s="118">
        <v>0.41899999999999998</v>
      </c>
    </row>
    <row r="15" spans="1:3" x14ac:dyDescent="0.25">
      <c r="A15" s="6">
        <v>2022</v>
      </c>
      <c r="B15" s="8" t="s">
        <v>273</v>
      </c>
      <c r="C15" s="119">
        <v>0.44900000000000001</v>
      </c>
    </row>
    <row r="17" spans="1:1" x14ac:dyDescent="0.25">
      <c r="A17" t="s">
        <v>262</v>
      </c>
    </row>
    <row r="19" spans="1:1" x14ac:dyDescent="0.25">
      <c r="A19" t="s">
        <v>263</v>
      </c>
    </row>
    <row r="21" spans="1:1" x14ac:dyDescent="0.25">
      <c r="A2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  <col min="3" max="3" width="20.7109375" customWidth="1"/>
    <col min="4" max="4" width="9.7109375" customWidth="1"/>
  </cols>
  <sheetData>
    <row r="1" spans="1:4" x14ac:dyDescent="0.25">
      <c r="A1" t="s">
        <v>277</v>
      </c>
    </row>
    <row r="3" spans="1:4" x14ac:dyDescent="0.25">
      <c r="A3" s="4" t="s">
        <v>2</v>
      </c>
      <c r="B3" s="3" t="s">
        <v>260</v>
      </c>
      <c r="C3" s="3" t="s">
        <v>278</v>
      </c>
      <c r="D3" s="5" t="s">
        <v>3</v>
      </c>
    </row>
    <row r="4" spans="1:4" x14ac:dyDescent="0.25">
      <c r="A4" s="1">
        <v>2019</v>
      </c>
      <c r="B4" t="s">
        <v>252</v>
      </c>
      <c r="C4" t="s">
        <v>279</v>
      </c>
      <c r="D4" s="88">
        <v>0.26600000000000001</v>
      </c>
    </row>
    <row r="5" spans="1:4" x14ac:dyDescent="0.25">
      <c r="A5" s="1">
        <v>2019</v>
      </c>
      <c r="B5" t="s">
        <v>276</v>
      </c>
      <c r="C5" t="s">
        <v>279</v>
      </c>
      <c r="D5" s="88">
        <v>0.97199999999999998</v>
      </c>
    </row>
    <row r="6" spans="1:4" x14ac:dyDescent="0.25">
      <c r="A6" s="1">
        <v>2019</v>
      </c>
      <c r="B6" t="s">
        <v>251</v>
      </c>
      <c r="C6" t="s">
        <v>279</v>
      </c>
      <c r="D6" s="88">
        <v>0.24199999999999999</v>
      </c>
    </row>
    <row r="7" spans="1:4" x14ac:dyDescent="0.25">
      <c r="A7" s="1">
        <v>2019</v>
      </c>
      <c r="B7" t="s">
        <v>252</v>
      </c>
      <c r="C7" t="s">
        <v>280</v>
      </c>
      <c r="D7" s="88">
        <v>0.73299999999999998</v>
      </c>
    </row>
    <row r="8" spans="1:4" x14ac:dyDescent="0.25">
      <c r="A8" s="1">
        <v>2019</v>
      </c>
      <c r="B8" t="s">
        <v>276</v>
      </c>
      <c r="C8" t="s">
        <v>280</v>
      </c>
      <c r="D8" s="88">
        <v>2.5999999999999999E-2</v>
      </c>
    </row>
    <row r="9" spans="1:4" x14ac:dyDescent="0.25">
      <c r="A9" s="1">
        <v>2019</v>
      </c>
      <c r="B9" t="s">
        <v>251</v>
      </c>
      <c r="C9" t="s">
        <v>280</v>
      </c>
      <c r="D9" s="88">
        <v>0.75700000000000001</v>
      </c>
    </row>
    <row r="10" spans="1:4" x14ac:dyDescent="0.25">
      <c r="A10" s="1">
        <v>2020</v>
      </c>
      <c r="B10" t="s">
        <v>252</v>
      </c>
      <c r="C10" t="s">
        <v>279</v>
      </c>
      <c r="D10" s="88">
        <v>0.28999999999999998</v>
      </c>
    </row>
    <row r="11" spans="1:4" x14ac:dyDescent="0.25">
      <c r="A11" s="1">
        <v>2020</v>
      </c>
      <c r="B11" t="s">
        <v>276</v>
      </c>
      <c r="C11" t="s">
        <v>279</v>
      </c>
      <c r="D11" s="88">
        <v>0.97699999999999998</v>
      </c>
    </row>
    <row r="12" spans="1:4" x14ac:dyDescent="0.25">
      <c r="A12" s="1">
        <v>2020</v>
      </c>
      <c r="B12" t="s">
        <v>251</v>
      </c>
      <c r="C12" t="s">
        <v>279</v>
      </c>
      <c r="D12" s="88">
        <v>0.253</v>
      </c>
    </row>
    <row r="13" spans="1:4" x14ac:dyDescent="0.25">
      <c r="A13" s="1">
        <v>2020</v>
      </c>
      <c r="B13" t="s">
        <v>252</v>
      </c>
      <c r="C13" t="s">
        <v>280</v>
      </c>
      <c r="D13" s="88">
        <v>0.70899999999999996</v>
      </c>
    </row>
    <row r="14" spans="1:4" x14ac:dyDescent="0.25">
      <c r="A14" s="1">
        <v>2020</v>
      </c>
      <c r="B14" t="s">
        <v>276</v>
      </c>
      <c r="C14" t="s">
        <v>280</v>
      </c>
      <c r="D14" s="88">
        <v>2.1999999999999999E-2</v>
      </c>
    </row>
    <row r="15" spans="1:4" x14ac:dyDescent="0.25">
      <c r="A15" s="1">
        <v>2020</v>
      </c>
      <c r="B15" t="s">
        <v>251</v>
      </c>
      <c r="C15" t="s">
        <v>280</v>
      </c>
      <c r="D15" s="88">
        <v>0.747</v>
      </c>
    </row>
    <row r="16" spans="1:4" x14ac:dyDescent="0.25">
      <c r="A16" s="1">
        <v>2021</v>
      </c>
      <c r="B16" t="s">
        <v>252</v>
      </c>
      <c r="C16" t="s">
        <v>279</v>
      </c>
      <c r="D16" s="88">
        <v>0.30599999999999999</v>
      </c>
    </row>
    <row r="17" spans="1:4" x14ac:dyDescent="0.25">
      <c r="A17" s="1">
        <v>2021</v>
      </c>
      <c r="B17" t="s">
        <v>276</v>
      </c>
      <c r="C17" t="s">
        <v>279</v>
      </c>
      <c r="D17" s="88">
        <v>0.98199999999999998</v>
      </c>
    </row>
    <row r="18" spans="1:4" x14ac:dyDescent="0.25">
      <c r="A18" s="1">
        <v>2021</v>
      </c>
      <c r="B18" t="s">
        <v>251</v>
      </c>
      <c r="C18" t="s">
        <v>279</v>
      </c>
      <c r="D18" s="88">
        <v>0.25800000000000001</v>
      </c>
    </row>
    <row r="19" spans="1:4" x14ac:dyDescent="0.25">
      <c r="A19" s="1">
        <v>2021</v>
      </c>
      <c r="B19" t="s">
        <v>252</v>
      </c>
      <c r="C19" t="s">
        <v>280</v>
      </c>
      <c r="D19" s="88">
        <v>0.69399999999999995</v>
      </c>
    </row>
    <row r="20" spans="1:4" x14ac:dyDescent="0.25">
      <c r="A20" s="1">
        <v>2021</v>
      </c>
      <c r="B20" t="s">
        <v>276</v>
      </c>
      <c r="C20" t="s">
        <v>280</v>
      </c>
      <c r="D20" s="88">
        <v>1.7999999999999999E-2</v>
      </c>
    </row>
    <row r="21" spans="1:4" x14ac:dyDescent="0.25">
      <c r="A21" s="1">
        <v>2021</v>
      </c>
      <c r="B21" t="s">
        <v>251</v>
      </c>
      <c r="C21" t="s">
        <v>280</v>
      </c>
      <c r="D21" s="88">
        <v>0.74199999999999999</v>
      </c>
    </row>
    <row r="22" spans="1:4" x14ac:dyDescent="0.25">
      <c r="A22" s="1">
        <v>2022</v>
      </c>
      <c r="B22" t="s">
        <v>252</v>
      </c>
      <c r="C22" t="s">
        <v>279</v>
      </c>
      <c r="D22" s="88">
        <v>0.32700000000000001</v>
      </c>
    </row>
    <row r="23" spans="1:4" x14ac:dyDescent="0.25">
      <c r="A23" s="1">
        <v>2022</v>
      </c>
      <c r="B23" t="s">
        <v>276</v>
      </c>
      <c r="C23" t="s">
        <v>279</v>
      </c>
      <c r="D23" s="88">
        <v>0.98499999999999999</v>
      </c>
    </row>
    <row r="24" spans="1:4" x14ac:dyDescent="0.25">
      <c r="A24" s="1">
        <v>2022</v>
      </c>
      <c r="B24" t="s">
        <v>251</v>
      </c>
      <c r="C24" t="s">
        <v>279</v>
      </c>
      <c r="D24" s="88">
        <v>0.26700000000000002</v>
      </c>
    </row>
    <row r="25" spans="1:4" x14ac:dyDescent="0.25">
      <c r="A25" s="1">
        <v>2022</v>
      </c>
      <c r="B25" t="s">
        <v>252</v>
      </c>
      <c r="C25" t="s">
        <v>280</v>
      </c>
      <c r="D25" s="88">
        <v>0.67300000000000004</v>
      </c>
    </row>
    <row r="26" spans="1:4" x14ac:dyDescent="0.25">
      <c r="A26" s="1">
        <v>2022</v>
      </c>
      <c r="B26" t="s">
        <v>276</v>
      </c>
      <c r="C26" t="s">
        <v>280</v>
      </c>
      <c r="D26" s="88">
        <v>1.4999999999999999E-2</v>
      </c>
    </row>
    <row r="27" spans="1:4" x14ac:dyDescent="0.25">
      <c r="A27" s="6">
        <v>2022</v>
      </c>
      <c r="B27" s="8" t="s">
        <v>251</v>
      </c>
      <c r="C27" s="8" t="s">
        <v>280</v>
      </c>
      <c r="D27" s="89">
        <v>0.73299999999999998</v>
      </c>
    </row>
    <row r="29" spans="1:4" x14ac:dyDescent="0.25">
      <c r="A29" t="s">
        <v>262</v>
      </c>
    </row>
    <row r="31" spans="1:4" x14ac:dyDescent="0.25">
      <c r="A31" t="s">
        <v>263</v>
      </c>
    </row>
    <row r="32" spans="1:4" x14ac:dyDescent="0.25">
      <c r="A32" t="s">
        <v>281</v>
      </c>
    </row>
    <row r="34" spans="1:1" x14ac:dyDescent="0.25">
      <c r="A34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/>
  </sheetViews>
  <sheetFormatPr defaultColWidth="11.42578125" defaultRowHeight="15" x14ac:dyDescent="0.25"/>
  <cols>
    <col min="1" max="1" width="11.7109375" customWidth="1"/>
    <col min="2" max="2" width="15.7109375" customWidth="1"/>
    <col min="3" max="3" width="18.7109375" customWidth="1"/>
  </cols>
  <sheetData>
    <row r="1" spans="1:3" x14ac:dyDescent="0.25">
      <c r="A1" t="s">
        <v>282</v>
      </c>
    </row>
    <row r="3" spans="1:3" x14ac:dyDescent="0.25">
      <c r="A3" s="4" t="s">
        <v>41</v>
      </c>
      <c r="B3" s="3" t="s">
        <v>67</v>
      </c>
      <c r="C3" s="5" t="s">
        <v>201</v>
      </c>
    </row>
    <row r="4" spans="1:3" x14ac:dyDescent="0.25">
      <c r="A4" s="1" t="s">
        <v>45</v>
      </c>
      <c r="B4" t="s">
        <v>69</v>
      </c>
      <c r="C4" s="90">
        <v>693</v>
      </c>
    </row>
    <row r="5" spans="1:3" x14ac:dyDescent="0.25">
      <c r="A5" s="1" t="s">
        <v>45</v>
      </c>
      <c r="B5" t="s">
        <v>70</v>
      </c>
      <c r="C5" s="90">
        <v>4472</v>
      </c>
    </row>
    <row r="6" spans="1:3" x14ac:dyDescent="0.25">
      <c r="A6" s="1" t="s">
        <v>45</v>
      </c>
      <c r="B6" t="s">
        <v>71</v>
      </c>
      <c r="C6" s="90">
        <v>9111</v>
      </c>
    </row>
    <row r="7" spans="1:3" x14ac:dyDescent="0.25">
      <c r="A7" s="1" t="s">
        <v>45</v>
      </c>
      <c r="B7" t="s">
        <v>72</v>
      </c>
      <c r="C7" s="90">
        <v>5003</v>
      </c>
    </row>
    <row r="8" spans="1:3" x14ac:dyDescent="0.25">
      <c r="A8" s="1" t="s">
        <v>46</v>
      </c>
      <c r="B8" t="s">
        <v>69</v>
      </c>
      <c r="C8" s="90">
        <v>795</v>
      </c>
    </row>
    <row r="9" spans="1:3" x14ac:dyDescent="0.25">
      <c r="A9" s="1" t="s">
        <v>46</v>
      </c>
      <c r="B9" t="s">
        <v>70</v>
      </c>
      <c r="C9" s="90">
        <v>2965</v>
      </c>
    </row>
    <row r="10" spans="1:3" x14ac:dyDescent="0.25">
      <c r="A10" s="1" t="s">
        <v>46</v>
      </c>
      <c r="B10" t="s">
        <v>71</v>
      </c>
      <c r="C10" s="90">
        <v>4154</v>
      </c>
    </row>
    <row r="11" spans="1:3" x14ac:dyDescent="0.25">
      <c r="A11" s="6" t="s">
        <v>46</v>
      </c>
      <c r="B11" s="8" t="s">
        <v>72</v>
      </c>
      <c r="C11" s="91">
        <v>1664</v>
      </c>
    </row>
    <row r="13" spans="1:3" x14ac:dyDescent="0.25">
      <c r="A13" t="s">
        <v>73</v>
      </c>
    </row>
    <row r="15" spans="1:3" x14ac:dyDescent="0.25">
      <c r="A15" t="s">
        <v>283</v>
      </c>
    </row>
    <row r="17" spans="1:1" x14ac:dyDescent="0.25">
      <c r="A1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/>
  </sheetViews>
  <sheetFormatPr defaultColWidth="11.42578125" defaultRowHeight="15" x14ac:dyDescent="0.25"/>
  <cols>
    <col min="1" max="1" width="17.7109375" customWidth="1"/>
    <col min="2" max="2" width="18.7109375" customWidth="1"/>
    <col min="3" max="4" width="25.7109375" customWidth="1"/>
  </cols>
  <sheetData>
    <row r="1" spans="1:4" x14ac:dyDescent="0.25">
      <c r="A1" t="s">
        <v>48</v>
      </c>
    </row>
    <row r="3" spans="1:4" x14ac:dyDescent="0.25">
      <c r="A3" s="4" t="s">
        <v>1</v>
      </c>
      <c r="B3" s="3" t="s">
        <v>42</v>
      </c>
      <c r="C3" s="3" t="s">
        <v>43</v>
      </c>
      <c r="D3" s="5" t="s">
        <v>44</v>
      </c>
    </row>
    <row r="4" spans="1:4" x14ac:dyDescent="0.25">
      <c r="A4" s="1" t="s">
        <v>4</v>
      </c>
      <c r="B4" s="24">
        <v>1.0699999999999999E-2</v>
      </c>
      <c r="C4" s="24">
        <v>1.26E-2</v>
      </c>
      <c r="D4" s="25">
        <v>8.9999999999999993E-3</v>
      </c>
    </row>
    <row r="5" spans="1:4" x14ac:dyDescent="0.25">
      <c r="A5" s="1" t="s">
        <v>6</v>
      </c>
      <c r="B5" s="24">
        <v>1.2800000000000001E-2</v>
      </c>
      <c r="C5" s="24">
        <v>1.49E-2</v>
      </c>
      <c r="D5" s="25">
        <v>1.0800000000000001E-2</v>
      </c>
    </row>
    <row r="6" spans="1:4" x14ac:dyDescent="0.25">
      <c r="A6" s="1" t="s">
        <v>7</v>
      </c>
      <c r="B6" s="24">
        <v>1.38E-2</v>
      </c>
      <c r="C6" s="24">
        <v>1.6E-2</v>
      </c>
      <c r="D6" s="25">
        <v>1.1599999999999999E-2</v>
      </c>
    </row>
    <row r="7" spans="1:4" x14ac:dyDescent="0.25">
      <c r="A7" s="1" t="s">
        <v>10</v>
      </c>
      <c r="B7" s="24">
        <v>1.5900000000000001E-2</v>
      </c>
      <c r="C7" s="24">
        <v>1.8499999999999999E-2</v>
      </c>
      <c r="D7" s="25">
        <v>1.35E-2</v>
      </c>
    </row>
    <row r="8" spans="1:4" x14ac:dyDescent="0.25">
      <c r="A8" s="1" t="s">
        <v>11</v>
      </c>
      <c r="B8" s="24">
        <v>1.7299999999999999E-2</v>
      </c>
      <c r="C8" s="24">
        <v>0.02</v>
      </c>
      <c r="D8" s="25">
        <v>1.4800000000000001E-2</v>
      </c>
    </row>
    <row r="9" spans="1:4" x14ac:dyDescent="0.25">
      <c r="A9" s="1" t="s">
        <v>9</v>
      </c>
      <c r="B9" s="24">
        <v>1.7600000000000001E-2</v>
      </c>
      <c r="C9" s="24">
        <v>2.0500000000000001E-2</v>
      </c>
      <c r="D9" s="25">
        <v>1.47E-2</v>
      </c>
    </row>
    <row r="10" spans="1:4" x14ac:dyDescent="0.25">
      <c r="A10" s="1" t="s">
        <v>13</v>
      </c>
      <c r="B10" s="24">
        <v>1.7600000000000001E-2</v>
      </c>
      <c r="C10" s="24">
        <v>2.0400000000000001E-2</v>
      </c>
      <c r="D10" s="25">
        <v>1.4999999999999999E-2</v>
      </c>
    </row>
    <row r="11" spans="1:4" x14ac:dyDescent="0.25">
      <c r="A11" s="1" t="s">
        <v>16</v>
      </c>
      <c r="B11" s="24">
        <v>1.8499999999999999E-2</v>
      </c>
      <c r="C11" s="24">
        <v>2.1499999999999998E-2</v>
      </c>
      <c r="D11" s="25">
        <v>1.5699999999999999E-2</v>
      </c>
    </row>
    <row r="12" spans="1:4" x14ac:dyDescent="0.25">
      <c r="A12" s="1" t="s">
        <v>17</v>
      </c>
      <c r="B12" s="24">
        <v>1.9699999999999999E-2</v>
      </c>
      <c r="C12" s="24">
        <v>2.2700000000000001E-2</v>
      </c>
      <c r="D12" s="25">
        <v>1.6799999999999999E-2</v>
      </c>
    </row>
    <row r="13" spans="1:4" x14ac:dyDescent="0.25">
      <c r="A13" s="1" t="s">
        <v>12</v>
      </c>
      <c r="B13" s="24">
        <v>1.9699999999999999E-2</v>
      </c>
      <c r="C13" s="24">
        <v>2.3099999999999999E-2</v>
      </c>
      <c r="D13" s="25">
        <v>1.67E-2</v>
      </c>
    </row>
    <row r="14" spans="1:4" x14ac:dyDescent="0.25">
      <c r="A14" s="1" t="s">
        <v>19</v>
      </c>
      <c r="B14" s="24">
        <v>2.0500000000000001E-2</v>
      </c>
      <c r="C14" s="24">
        <v>2.3699999999999999E-2</v>
      </c>
      <c r="D14" s="25">
        <v>1.7100000000000001E-2</v>
      </c>
    </row>
    <row r="15" spans="1:4" x14ac:dyDescent="0.25">
      <c r="A15" s="1" t="s">
        <v>20</v>
      </c>
      <c r="B15" s="24">
        <v>2.06E-2</v>
      </c>
      <c r="C15" s="24">
        <v>2.3900000000000001E-2</v>
      </c>
      <c r="D15" s="25">
        <v>1.7399999999999999E-2</v>
      </c>
    </row>
    <row r="16" spans="1:4" x14ac:dyDescent="0.25">
      <c r="A16" s="1" t="s">
        <v>21</v>
      </c>
      <c r="B16" s="24">
        <v>2.0899999999999998E-2</v>
      </c>
      <c r="C16" s="24">
        <v>2.4400000000000002E-2</v>
      </c>
      <c r="D16" s="25">
        <v>1.7500000000000002E-2</v>
      </c>
    </row>
    <row r="17" spans="1:4" x14ac:dyDescent="0.25">
      <c r="A17" s="1" t="s">
        <v>14</v>
      </c>
      <c r="B17" s="24">
        <v>2.0899999999999998E-2</v>
      </c>
      <c r="C17" s="24">
        <v>2.4400000000000002E-2</v>
      </c>
      <c r="D17" s="25">
        <v>1.7600000000000001E-2</v>
      </c>
    </row>
    <row r="18" spans="1:4" x14ac:dyDescent="0.25">
      <c r="A18" s="1" t="s">
        <v>15</v>
      </c>
      <c r="B18" s="24">
        <v>2.12E-2</v>
      </c>
      <c r="C18" s="24">
        <v>2.5000000000000001E-2</v>
      </c>
      <c r="D18" s="25">
        <v>1.7500000000000002E-2</v>
      </c>
    </row>
    <row r="19" spans="1:4" x14ac:dyDescent="0.25">
      <c r="A19" s="1" t="s">
        <v>24</v>
      </c>
      <c r="B19" s="24">
        <v>2.1700000000000001E-2</v>
      </c>
      <c r="C19" s="24">
        <v>2.5600000000000001E-2</v>
      </c>
      <c r="D19" s="25">
        <v>1.78E-2</v>
      </c>
    </row>
    <row r="20" spans="1:4" x14ac:dyDescent="0.25">
      <c r="A20" s="1" t="s">
        <v>22</v>
      </c>
      <c r="B20" s="24">
        <v>2.24E-2</v>
      </c>
      <c r="C20" s="24">
        <v>2.6100000000000002E-2</v>
      </c>
      <c r="D20" s="25">
        <v>1.8700000000000001E-2</v>
      </c>
    </row>
    <row r="21" spans="1:4" x14ac:dyDescent="0.25">
      <c r="A21" s="1" t="s">
        <v>25</v>
      </c>
      <c r="B21" s="24">
        <v>2.24E-2</v>
      </c>
      <c r="C21" s="24">
        <v>2.5999999999999999E-2</v>
      </c>
      <c r="D21" s="25">
        <v>1.9099999999999999E-2</v>
      </c>
    </row>
    <row r="22" spans="1:4" x14ac:dyDescent="0.25">
      <c r="A22" s="1" t="s">
        <v>23</v>
      </c>
      <c r="B22" s="24">
        <v>2.2599999999999999E-2</v>
      </c>
      <c r="C22" s="24">
        <v>2.6100000000000002E-2</v>
      </c>
      <c r="D22" s="25">
        <v>1.9699999999999999E-2</v>
      </c>
    </row>
    <row r="23" spans="1:4" x14ac:dyDescent="0.25">
      <c r="A23" s="1" t="s">
        <v>18</v>
      </c>
      <c r="B23" s="24">
        <v>2.2700000000000001E-2</v>
      </c>
      <c r="C23" s="24">
        <v>2.64E-2</v>
      </c>
      <c r="D23" s="25">
        <v>1.9199999999999998E-2</v>
      </c>
    </row>
    <row r="24" spans="1:4" x14ac:dyDescent="0.25">
      <c r="A24" s="1" t="s">
        <v>28</v>
      </c>
      <c r="B24" s="24">
        <v>2.3199999999999998E-2</v>
      </c>
      <c r="C24" s="24">
        <v>2.7199999999999998E-2</v>
      </c>
      <c r="D24" s="25">
        <v>1.9599999999999999E-2</v>
      </c>
    </row>
    <row r="25" spans="1:4" x14ac:dyDescent="0.25">
      <c r="A25" s="1" t="s">
        <v>26</v>
      </c>
      <c r="B25" s="24">
        <v>2.3300000000000001E-2</v>
      </c>
      <c r="C25" s="24">
        <v>2.7199999999999998E-2</v>
      </c>
      <c r="D25" s="25">
        <v>1.9599999999999999E-2</v>
      </c>
    </row>
    <row r="26" spans="1:4" x14ac:dyDescent="0.25">
      <c r="A26" s="1" t="s">
        <v>32</v>
      </c>
      <c r="B26" s="24">
        <v>2.3300000000000001E-2</v>
      </c>
      <c r="C26" s="24">
        <v>2.7400000000000001E-2</v>
      </c>
      <c r="D26" s="25">
        <v>1.95E-2</v>
      </c>
    </row>
    <row r="27" spans="1:4" x14ac:dyDescent="0.25">
      <c r="A27" s="1" t="s">
        <v>27</v>
      </c>
      <c r="B27" s="24">
        <v>2.3699999999999999E-2</v>
      </c>
      <c r="C27" s="24">
        <v>2.81E-2</v>
      </c>
      <c r="D27" s="25">
        <v>1.9900000000000001E-2</v>
      </c>
    </row>
    <row r="28" spans="1:4" x14ac:dyDescent="0.25">
      <c r="A28" s="1" t="s">
        <v>29</v>
      </c>
      <c r="B28" s="24">
        <v>2.47E-2</v>
      </c>
      <c r="C28" s="24">
        <v>2.9100000000000001E-2</v>
      </c>
      <c r="D28" s="25">
        <v>2.06E-2</v>
      </c>
    </row>
    <row r="29" spans="1:4" x14ac:dyDescent="0.25">
      <c r="A29" s="1" t="s">
        <v>34</v>
      </c>
      <c r="B29" s="24">
        <v>2.4799999999999999E-2</v>
      </c>
      <c r="C29" s="24">
        <v>2.87E-2</v>
      </c>
      <c r="D29" s="25">
        <v>2.12E-2</v>
      </c>
    </row>
    <row r="30" spans="1:4" x14ac:dyDescent="0.25">
      <c r="A30" s="1" t="s">
        <v>30</v>
      </c>
      <c r="B30" s="24">
        <v>2.5100000000000001E-2</v>
      </c>
      <c r="C30" s="24">
        <v>0.03</v>
      </c>
      <c r="D30" s="25">
        <v>2.0899999999999998E-2</v>
      </c>
    </row>
    <row r="31" spans="1:4" x14ac:dyDescent="0.25">
      <c r="A31" s="1" t="s">
        <v>31</v>
      </c>
      <c r="B31" s="24">
        <v>2.5700000000000001E-2</v>
      </c>
      <c r="C31" s="24">
        <v>3.0200000000000001E-2</v>
      </c>
      <c r="D31" s="25">
        <v>2.1600000000000001E-2</v>
      </c>
    </row>
    <row r="32" spans="1:4" x14ac:dyDescent="0.25">
      <c r="A32" s="1" t="s">
        <v>33</v>
      </c>
      <c r="B32" s="24">
        <v>2.7400000000000001E-2</v>
      </c>
      <c r="C32" s="24">
        <v>3.1800000000000002E-2</v>
      </c>
      <c r="D32" s="25">
        <v>2.3E-2</v>
      </c>
    </row>
    <row r="33" spans="1:4" x14ac:dyDescent="0.25">
      <c r="A33" s="6" t="s">
        <v>35</v>
      </c>
      <c r="B33" s="26">
        <v>3.0200000000000001E-2</v>
      </c>
      <c r="C33" s="26">
        <v>3.5299999999999998E-2</v>
      </c>
      <c r="D33" s="27">
        <v>2.5399999999999999E-2</v>
      </c>
    </row>
    <row r="35" spans="1:4" x14ac:dyDescent="0.25">
      <c r="A35" t="s">
        <v>37</v>
      </c>
    </row>
    <row r="37" spans="1:4" x14ac:dyDescent="0.25">
      <c r="A37" t="s">
        <v>38</v>
      </c>
    </row>
    <row r="39" spans="1:4" x14ac:dyDescent="0.25">
      <c r="A3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ColWidth="11.42578125" defaultRowHeight="15" x14ac:dyDescent="0.25"/>
  <cols>
    <col min="1" max="1" width="15.7109375" customWidth="1"/>
    <col min="2" max="2" width="14.7109375" customWidth="1"/>
    <col min="3" max="3" width="13.7109375" customWidth="1"/>
    <col min="4" max="4" width="11.7109375" customWidth="1"/>
  </cols>
  <sheetData>
    <row r="1" spans="1:4" x14ac:dyDescent="0.25">
      <c r="A1" t="s">
        <v>284</v>
      </c>
    </row>
    <row r="3" spans="1:4" x14ac:dyDescent="0.25">
      <c r="A3" s="4" t="s">
        <v>67</v>
      </c>
      <c r="B3" s="3" t="s">
        <v>285</v>
      </c>
      <c r="C3" s="3" t="s">
        <v>286</v>
      </c>
      <c r="D3" s="5" t="s">
        <v>3</v>
      </c>
    </row>
    <row r="4" spans="1:4" x14ac:dyDescent="0.25">
      <c r="A4" s="1" t="s">
        <v>69</v>
      </c>
      <c r="B4" t="s">
        <v>287</v>
      </c>
      <c r="C4" s="92">
        <v>371</v>
      </c>
      <c r="D4" s="93">
        <v>0.24932795698924701</v>
      </c>
    </row>
    <row r="5" spans="1:4" x14ac:dyDescent="0.25">
      <c r="A5" s="1" t="s">
        <v>69</v>
      </c>
      <c r="B5" t="s">
        <v>288</v>
      </c>
      <c r="C5" s="92">
        <v>200</v>
      </c>
      <c r="D5" s="93">
        <v>0.13440860215053799</v>
      </c>
    </row>
    <row r="6" spans="1:4" x14ac:dyDescent="0.25">
      <c r="A6" s="1" t="s">
        <v>69</v>
      </c>
      <c r="B6" t="s">
        <v>289</v>
      </c>
      <c r="C6" s="92">
        <v>201</v>
      </c>
      <c r="D6" s="93">
        <v>0.13508064516129001</v>
      </c>
    </row>
    <row r="7" spans="1:4" x14ac:dyDescent="0.25">
      <c r="A7" s="1" t="s">
        <v>69</v>
      </c>
      <c r="B7" t="s">
        <v>290</v>
      </c>
      <c r="C7" s="92">
        <v>314</v>
      </c>
      <c r="D7" s="93">
        <v>0.21102150537634401</v>
      </c>
    </row>
    <row r="8" spans="1:4" x14ac:dyDescent="0.25">
      <c r="A8" s="1" t="s">
        <v>69</v>
      </c>
      <c r="B8" t="s">
        <v>291</v>
      </c>
      <c r="C8" s="92">
        <v>402</v>
      </c>
      <c r="D8" s="93">
        <v>0.27016129032258102</v>
      </c>
    </row>
    <row r="9" spans="1:4" x14ac:dyDescent="0.25">
      <c r="A9" s="1" t="s">
        <v>70</v>
      </c>
      <c r="B9" t="s">
        <v>287</v>
      </c>
      <c r="C9" s="92">
        <v>2386</v>
      </c>
      <c r="D9" s="93">
        <v>0.32082829097754501</v>
      </c>
    </row>
    <row r="10" spans="1:4" x14ac:dyDescent="0.25">
      <c r="A10" s="1" t="s">
        <v>70</v>
      </c>
      <c r="B10" t="s">
        <v>288</v>
      </c>
      <c r="C10" s="92">
        <v>1134</v>
      </c>
      <c r="D10" s="93">
        <v>0.152480839048003</v>
      </c>
    </row>
    <row r="11" spans="1:4" x14ac:dyDescent="0.25">
      <c r="A11" s="1" t="s">
        <v>70</v>
      </c>
      <c r="B11" t="s">
        <v>289</v>
      </c>
      <c r="C11" s="92">
        <v>1055</v>
      </c>
      <c r="D11" s="93">
        <v>0.14185827618663399</v>
      </c>
    </row>
    <row r="12" spans="1:4" x14ac:dyDescent="0.25">
      <c r="A12" s="1" t="s">
        <v>70</v>
      </c>
      <c r="B12" t="s">
        <v>290</v>
      </c>
      <c r="C12" s="92">
        <v>1274</v>
      </c>
      <c r="D12" s="93">
        <v>0.171305633992201</v>
      </c>
    </row>
    <row r="13" spans="1:4" x14ac:dyDescent="0.25">
      <c r="A13" s="1" t="s">
        <v>70</v>
      </c>
      <c r="B13" t="s">
        <v>291</v>
      </c>
      <c r="C13" s="92">
        <v>1588</v>
      </c>
      <c r="D13" s="93">
        <v>0.21352695979561701</v>
      </c>
    </row>
    <row r="14" spans="1:4" x14ac:dyDescent="0.25">
      <c r="A14" s="1" t="s">
        <v>71</v>
      </c>
      <c r="B14" t="s">
        <v>287</v>
      </c>
      <c r="C14" s="92">
        <v>4453</v>
      </c>
      <c r="D14" s="93">
        <v>0.33569543912551802</v>
      </c>
    </row>
    <row r="15" spans="1:4" x14ac:dyDescent="0.25">
      <c r="A15" s="1" t="s">
        <v>71</v>
      </c>
      <c r="B15" t="s">
        <v>288</v>
      </c>
      <c r="C15" s="92">
        <v>2245</v>
      </c>
      <c r="D15" s="93">
        <v>0.169242367131549</v>
      </c>
    </row>
    <row r="16" spans="1:4" x14ac:dyDescent="0.25">
      <c r="A16" s="1" t="s">
        <v>71</v>
      </c>
      <c r="B16" t="s">
        <v>289</v>
      </c>
      <c r="C16" s="92">
        <v>1636</v>
      </c>
      <c r="D16" s="93">
        <v>0.123332076894082</v>
      </c>
    </row>
    <row r="17" spans="1:4" x14ac:dyDescent="0.25">
      <c r="A17" s="1" t="s">
        <v>71</v>
      </c>
      <c r="B17" t="s">
        <v>290</v>
      </c>
      <c r="C17" s="92">
        <v>2043</v>
      </c>
      <c r="D17" s="93">
        <v>0.15401432340746299</v>
      </c>
    </row>
    <row r="18" spans="1:4" x14ac:dyDescent="0.25">
      <c r="A18" s="1" t="s">
        <v>71</v>
      </c>
      <c r="B18" t="s">
        <v>291</v>
      </c>
      <c r="C18" s="92">
        <v>2888</v>
      </c>
      <c r="D18" s="93">
        <v>0.217715793441387</v>
      </c>
    </row>
    <row r="19" spans="1:4" x14ac:dyDescent="0.25">
      <c r="A19" s="1" t="s">
        <v>72</v>
      </c>
      <c r="B19" t="s">
        <v>287</v>
      </c>
      <c r="C19" s="92">
        <v>2062</v>
      </c>
      <c r="D19" s="93">
        <v>0.30928453577321102</v>
      </c>
    </row>
    <row r="20" spans="1:4" x14ac:dyDescent="0.25">
      <c r="A20" s="1" t="s">
        <v>72</v>
      </c>
      <c r="B20" t="s">
        <v>288</v>
      </c>
      <c r="C20" s="92">
        <v>1094</v>
      </c>
      <c r="D20" s="93">
        <v>0.16409179541023</v>
      </c>
    </row>
    <row r="21" spans="1:4" x14ac:dyDescent="0.25">
      <c r="A21" s="1" t="s">
        <v>72</v>
      </c>
      <c r="B21" t="s">
        <v>289</v>
      </c>
      <c r="C21" s="92">
        <v>867</v>
      </c>
      <c r="D21" s="93">
        <v>0.13004349782510899</v>
      </c>
    </row>
    <row r="22" spans="1:4" x14ac:dyDescent="0.25">
      <c r="A22" s="1" t="s">
        <v>72</v>
      </c>
      <c r="B22" t="s">
        <v>290</v>
      </c>
      <c r="C22" s="92">
        <v>1019</v>
      </c>
      <c r="D22" s="93">
        <v>0.15284235788210601</v>
      </c>
    </row>
    <row r="23" spans="1:4" x14ac:dyDescent="0.25">
      <c r="A23" s="6" t="s">
        <v>72</v>
      </c>
      <c r="B23" s="8" t="s">
        <v>291</v>
      </c>
      <c r="C23" s="94">
        <v>1625</v>
      </c>
      <c r="D23" s="95">
        <v>0.243737813109345</v>
      </c>
    </row>
    <row r="25" spans="1:4" x14ac:dyDescent="0.25">
      <c r="A25" t="s">
        <v>73</v>
      </c>
    </row>
    <row r="27" spans="1:4" x14ac:dyDescent="0.25">
      <c r="A27" t="s">
        <v>283</v>
      </c>
    </row>
    <row r="29" spans="1:4" x14ac:dyDescent="0.25">
      <c r="A2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/>
  </sheetViews>
  <sheetFormatPr defaultColWidth="11.42578125" defaultRowHeight="15" x14ac:dyDescent="0.25"/>
  <cols>
    <col min="1" max="1" width="15.7109375" customWidth="1"/>
    <col min="2" max="2" width="13.7109375" customWidth="1"/>
    <col min="3" max="3" width="16.7109375" customWidth="1"/>
    <col min="4" max="4" width="12.7109375" customWidth="1"/>
    <col min="5" max="6" width="13.7109375" customWidth="1"/>
    <col min="7" max="7" width="18.7109375" customWidth="1"/>
  </cols>
  <sheetData>
    <row r="1" spans="1:7" x14ac:dyDescent="0.25">
      <c r="A1" t="s">
        <v>292</v>
      </c>
    </row>
    <row r="3" spans="1:7" x14ac:dyDescent="0.25">
      <c r="A3" s="4" t="s">
        <v>67</v>
      </c>
      <c r="B3" s="3" t="s">
        <v>286</v>
      </c>
      <c r="C3" s="3" t="s">
        <v>293</v>
      </c>
      <c r="D3" s="3" t="s">
        <v>294</v>
      </c>
      <c r="E3" s="3" t="s">
        <v>295</v>
      </c>
      <c r="F3" s="3" t="s">
        <v>296</v>
      </c>
      <c r="G3" s="5" t="s">
        <v>297</v>
      </c>
    </row>
    <row r="4" spans="1:7" x14ac:dyDescent="0.25">
      <c r="A4" s="1" t="s">
        <v>69</v>
      </c>
      <c r="B4" s="96">
        <v>1488</v>
      </c>
      <c r="C4" s="120">
        <v>0.31900000000000001</v>
      </c>
      <c r="D4" s="120">
        <v>0.11700000000000001</v>
      </c>
      <c r="E4" s="120">
        <v>8.4000000000000005E-2</v>
      </c>
      <c r="F4" s="120">
        <v>0.14499999999999999</v>
      </c>
      <c r="G4" s="121">
        <v>0.33500000000000002</v>
      </c>
    </row>
    <row r="5" spans="1:7" x14ac:dyDescent="0.25">
      <c r="A5" s="1" t="s">
        <v>70</v>
      </c>
      <c r="B5" s="96">
        <v>7437</v>
      </c>
      <c r="C5" s="120">
        <v>0.23599999999999999</v>
      </c>
      <c r="D5" s="120">
        <v>9.7000000000000003E-2</v>
      </c>
      <c r="E5" s="120">
        <v>7.6999999999999999E-2</v>
      </c>
      <c r="F5" s="120">
        <v>0.17499999999999999</v>
      </c>
      <c r="G5" s="121">
        <v>0.41299999999999998</v>
      </c>
    </row>
    <row r="6" spans="1:7" x14ac:dyDescent="0.25">
      <c r="A6" s="1" t="s">
        <v>71</v>
      </c>
      <c r="B6" s="96">
        <v>13265</v>
      </c>
      <c r="C6" s="120">
        <v>0.24199999999999999</v>
      </c>
      <c r="D6" s="120">
        <v>8.6999999999999994E-2</v>
      </c>
      <c r="E6" s="120">
        <v>6.7000000000000004E-2</v>
      </c>
      <c r="F6" s="120">
        <v>0.17499999999999999</v>
      </c>
      <c r="G6" s="121">
        <v>0.42899999999999999</v>
      </c>
    </row>
    <row r="7" spans="1:7" x14ac:dyDescent="0.25">
      <c r="A7" s="1" t="s">
        <v>72</v>
      </c>
      <c r="B7" s="96">
        <v>6667</v>
      </c>
      <c r="C7" s="120">
        <v>0.26900000000000002</v>
      </c>
      <c r="D7" s="120">
        <v>8.5000000000000006E-2</v>
      </c>
      <c r="E7" s="120">
        <v>7.2999999999999995E-2</v>
      </c>
      <c r="F7" s="120">
        <v>0.17899999999999999</v>
      </c>
      <c r="G7" s="121">
        <v>0.39400000000000002</v>
      </c>
    </row>
    <row r="8" spans="1:7" x14ac:dyDescent="0.25">
      <c r="A8" s="124" t="s">
        <v>147</v>
      </c>
      <c r="B8" s="144">
        <v>28857</v>
      </c>
      <c r="C8" s="145">
        <v>0.251</v>
      </c>
      <c r="D8" s="145">
        <v>9.0999999999999998E-2</v>
      </c>
      <c r="E8" s="145">
        <v>7.1999999999999995E-2</v>
      </c>
      <c r="F8" s="145">
        <v>0.17399999999999999</v>
      </c>
      <c r="G8" s="146">
        <v>0.41199999999999998</v>
      </c>
    </row>
    <row r="10" spans="1:7" x14ac:dyDescent="0.25">
      <c r="A10" t="s">
        <v>73</v>
      </c>
    </row>
    <row r="12" spans="1:7" x14ac:dyDescent="0.25">
      <c r="A12" t="s">
        <v>283</v>
      </c>
    </row>
    <row r="14" spans="1:7" x14ac:dyDescent="0.25">
      <c r="A14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/>
  </sheetViews>
  <sheetFormatPr defaultColWidth="11.42578125" defaultRowHeight="15" x14ac:dyDescent="0.25"/>
  <cols>
    <col min="1" max="1" width="11.7109375" customWidth="1"/>
    <col min="2" max="2" width="15.7109375" customWidth="1"/>
    <col min="3" max="3" width="18.7109375" customWidth="1"/>
  </cols>
  <sheetData>
    <row r="1" spans="1:3" x14ac:dyDescent="0.25">
      <c r="A1" t="s">
        <v>298</v>
      </c>
    </row>
    <row r="3" spans="1:3" x14ac:dyDescent="0.25">
      <c r="A3" s="4" t="s">
        <v>41</v>
      </c>
      <c r="B3" s="3" t="s">
        <v>67</v>
      </c>
      <c r="C3" s="5" t="s">
        <v>201</v>
      </c>
    </row>
    <row r="4" spans="1:3" x14ac:dyDescent="0.25">
      <c r="A4" s="1" t="s">
        <v>45</v>
      </c>
      <c r="B4" t="s">
        <v>69</v>
      </c>
      <c r="C4" s="97">
        <v>106</v>
      </c>
    </row>
    <row r="5" spans="1:3" x14ac:dyDescent="0.25">
      <c r="A5" s="1" t="s">
        <v>45</v>
      </c>
      <c r="B5" t="s">
        <v>70</v>
      </c>
      <c r="C5" s="97">
        <v>670</v>
      </c>
    </row>
    <row r="6" spans="1:3" x14ac:dyDescent="0.25">
      <c r="A6" s="1" t="s">
        <v>45</v>
      </c>
      <c r="B6" t="s">
        <v>71</v>
      </c>
      <c r="C6" s="97">
        <v>1360</v>
      </c>
    </row>
    <row r="7" spans="1:3" x14ac:dyDescent="0.25">
      <c r="A7" s="1" t="s">
        <v>45</v>
      </c>
      <c r="B7" t="s">
        <v>72</v>
      </c>
      <c r="C7" s="97">
        <v>684</v>
      </c>
    </row>
    <row r="8" spans="1:3" x14ac:dyDescent="0.25">
      <c r="A8" s="1" t="s">
        <v>46</v>
      </c>
      <c r="B8" t="s">
        <v>69</v>
      </c>
      <c r="C8" s="97">
        <v>124</v>
      </c>
    </row>
    <row r="9" spans="1:3" x14ac:dyDescent="0.25">
      <c r="A9" s="1" t="s">
        <v>46</v>
      </c>
      <c r="B9" t="s">
        <v>70</v>
      </c>
      <c r="C9" s="97">
        <v>494</v>
      </c>
    </row>
    <row r="10" spans="1:3" x14ac:dyDescent="0.25">
      <c r="A10" s="1" t="s">
        <v>46</v>
      </c>
      <c r="B10" t="s">
        <v>71</v>
      </c>
      <c r="C10" s="97">
        <v>652</v>
      </c>
    </row>
    <row r="11" spans="1:3" x14ac:dyDescent="0.25">
      <c r="A11" s="6" t="s">
        <v>46</v>
      </c>
      <c r="B11" s="8" t="s">
        <v>72</v>
      </c>
      <c r="C11" s="98">
        <v>261</v>
      </c>
    </row>
    <row r="13" spans="1:3" x14ac:dyDescent="0.25">
      <c r="A13" t="s">
        <v>73</v>
      </c>
    </row>
    <row r="15" spans="1:3" x14ac:dyDescent="0.25">
      <c r="A15" t="s">
        <v>283</v>
      </c>
    </row>
    <row r="17" spans="1:1" x14ac:dyDescent="0.25">
      <c r="A1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ColWidth="11.42578125" defaultRowHeight="15" x14ac:dyDescent="0.25"/>
  <cols>
    <col min="1" max="1" width="15.7109375" customWidth="1"/>
    <col min="2" max="2" width="14.7109375" customWidth="1"/>
    <col min="3" max="3" width="13.7109375" customWidth="1"/>
    <col min="4" max="4" width="12.7109375" customWidth="1"/>
  </cols>
  <sheetData>
    <row r="1" spans="1:4" x14ac:dyDescent="0.25">
      <c r="A1" t="s">
        <v>299</v>
      </c>
    </row>
    <row r="3" spans="1:4" x14ac:dyDescent="0.25">
      <c r="A3" s="4" t="s">
        <v>67</v>
      </c>
      <c r="B3" s="3" t="s">
        <v>285</v>
      </c>
      <c r="C3" s="3" t="s">
        <v>286</v>
      </c>
      <c r="D3" s="5" t="s">
        <v>3</v>
      </c>
    </row>
    <row r="4" spans="1:4" x14ac:dyDescent="0.25">
      <c r="A4" s="1" t="s">
        <v>69</v>
      </c>
      <c r="B4" t="s">
        <v>287</v>
      </c>
      <c r="C4" s="99">
        <v>20</v>
      </c>
      <c r="D4" s="100">
        <v>8.6956521739130405E-2</v>
      </c>
    </row>
    <row r="5" spans="1:4" x14ac:dyDescent="0.25">
      <c r="A5" s="1" t="s">
        <v>69</v>
      </c>
      <c r="B5" t="s">
        <v>288</v>
      </c>
      <c r="C5" s="99">
        <v>22</v>
      </c>
      <c r="D5" s="100">
        <v>9.5652173913043495E-2</v>
      </c>
    </row>
    <row r="6" spans="1:4" x14ac:dyDescent="0.25">
      <c r="A6" s="1" t="s">
        <v>69</v>
      </c>
      <c r="B6" t="s">
        <v>289</v>
      </c>
      <c r="C6" s="99">
        <v>39</v>
      </c>
      <c r="D6" s="100">
        <v>0.16956521739130401</v>
      </c>
    </row>
    <row r="7" spans="1:4" x14ac:dyDescent="0.25">
      <c r="A7" s="1" t="s">
        <v>69</v>
      </c>
      <c r="B7" t="s">
        <v>290</v>
      </c>
      <c r="C7" s="99">
        <v>43</v>
      </c>
      <c r="D7" s="100">
        <v>0.18695652173912999</v>
      </c>
    </row>
    <row r="8" spans="1:4" x14ac:dyDescent="0.25">
      <c r="A8" s="1" t="s">
        <v>69</v>
      </c>
      <c r="B8" t="s">
        <v>291</v>
      </c>
      <c r="C8" s="99">
        <v>106</v>
      </c>
      <c r="D8" s="100">
        <v>0.46086956521739098</v>
      </c>
    </row>
    <row r="9" spans="1:4" x14ac:dyDescent="0.25">
      <c r="A9" s="1" t="s">
        <v>70</v>
      </c>
      <c r="B9" t="s">
        <v>287</v>
      </c>
      <c r="C9" s="99">
        <v>156</v>
      </c>
      <c r="D9" s="100">
        <v>0.134020618556701</v>
      </c>
    </row>
    <row r="10" spans="1:4" x14ac:dyDescent="0.25">
      <c r="A10" s="1" t="s">
        <v>70</v>
      </c>
      <c r="B10" t="s">
        <v>288</v>
      </c>
      <c r="C10" s="99">
        <v>199</v>
      </c>
      <c r="D10" s="100">
        <v>0.170962199312715</v>
      </c>
    </row>
    <row r="11" spans="1:4" x14ac:dyDescent="0.25">
      <c r="A11" s="1" t="s">
        <v>70</v>
      </c>
      <c r="B11" t="s">
        <v>289</v>
      </c>
      <c r="C11" s="99">
        <v>174</v>
      </c>
      <c r="D11" s="100">
        <v>0.149484536082474</v>
      </c>
    </row>
    <row r="12" spans="1:4" x14ac:dyDescent="0.25">
      <c r="A12" s="1" t="s">
        <v>70</v>
      </c>
      <c r="B12" t="s">
        <v>290</v>
      </c>
      <c r="C12" s="99">
        <v>254</v>
      </c>
      <c r="D12" s="100">
        <v>0.21821305841924399</v>
      </c>
    </row>
    <row r="13" spans="1:4" x14ac:dyDescent="0.25">
      <c r="A13" s="1" t="s">
        <v>70</v>
      </c>
      <c r="B13" t="s">
        <v>291</v>
      </c>
      <c r="C13" s="99">
        <v>381</v>
      </c>
      <c r="D13" s="100">
        <v>0.32731958762886598</v>
      </c>
    </row>
    <row r="14" spans="1:4" x14ac:dyDescent="0.25">
      <c r="A14" s="1" t="s">
        <v>71</v>
      </c>
      <c r="B14" t="s">
        <v>287</v>
      </c>
      <c r="C14" s="99">
        <v>304</v>
      </c>
      <c r="D14" s="100">
        <v>0.151093439363817</v>
      </c>
    </row>
    <row r="15" spans="1:4" x14ac:dyDescent="0.25">
      <c r="A15" s="1" t="s">
        <v>71</v>
      </c>
      <c r="B15" t="s">
        <v>288</v>
      </c>
      <c r="C15" s="99">
        <v>333</v>
      </c>
      <c r="D15" s="100">
        <v>0.16550695825049699</v>
      </c>
    </row>
    <row r="16" spans="1:4" x14ac:dyDescent="0.25">
      <c r="A16" s="1" t="s">
        <v>71</v>
      </c>
      <c r="B16" t="s">
        <v>289</v>
      </c>
      <c r="C16" s="99">
        <v>306</v>
      </c>
      <c r="D16" s="100">
        <v>0.15208747514910501</v>
      </c>
    </row>
    <row r="17" spans="1:4" x14ac:dyDescent="0.25">
      <c r="A17" s="1" t="s">
        <v>71</v>
      </c>
      <c r="B17" t="s">
        <v>290</v>
      </c>
      <c r="C17" s="99">
        <v>413</v>
      </c>
      <c r="D17" s="100">
        <v>0.20526838966202801</v>
      </c>
    </row>
    <row r="18" spans="1:4" x14ac:dyDescent="0.25">
      <c r="A18" s="1" t="s">
        <v>71</v>
      </c>
      <c r="B18" t="s">
        <v>291</v>
      </c>
      <c r="C18" s="99">
        <v>656</v>
      </c>
      <c r="D18" s="100">
        <v>0.32604373757455302</v>
      </c>
    </row>
    <row r="19" spans="1:4" x14ac:dyDescent="0.25">
      <c r="A19" s="1" t="s">
        <v>72</v>
      </c>
      <c r="B19" t="s">
        <v>287</v>
      </c>
      <c r="C19" s="99">
        <v>103</v>
      </c>
      <c r="D19" s="100">
        <v>0.10899470899470901</v>
      </c>
    </row>
    <row r="20" spans="1:4" x14ac:dyDescent="0.25">
      <c r="A20" s="1" t="s">
        <v>72</v>
      </c>
      <c r="B20" t="s">
        <v>288</v>
      </c>
      <c r="C20" s="99">
        <v>151</v>
      </c>
      <c r="D20" s="100">
        <v>0.15978835978836001</v>
      </c>
    </row>
    <row r="21" spans="1:4" x14ac:dyDescent="0.25">
      <c r="A21" s="1" t="s">
        <v>72</v>
      </c>
      <c r="B21" t="s">
        <v>289</v>
      </c>
      <c r="C21" s="99">
        <v>146</v>
      </c>
      <c r="D21" s="100">
        <v>0.15449735449735399</v>
      </c>
    </row>
    <row r="22" spans="1:4" x14ac:dyDescent="0.25">
      <c r="A22" s="1" t="s">
        <v>72</v>
      </c>
      <c r="B22" t="s">
        <v>290</v>
      </c>
      <c r="C22" s="99">
        <v>207</v>
      </c>
      <c r="D22" s="100">
        <v>0.21904761904761899</v>
      </c>
    </row>
    <row r="23" spans="1:4" x14ac:dyDescent="0.25">
      <c r="A23" s="6" t="s">
        <v>72</v>
      </c>
      <c r="B23" s="8" t="s">
        <v>291</v>
      </c>
      <c r="C23" s="101">
        <v>338</v>
      </c>
      <c r="D23" s="102">
        <v>0.35767195767195797</v>
      </c>
    </row>
    <row r="25" spans="1:4" x14ac:dyDescent="0.25">
      <c r="A25" t="s">
        <v>73</v>
      </c>
    </row>
    <row r="27" spans="1:4" x14ac:dyDescent="0.25">
      <c r="A27" t="s">
        <v>283</v>
      </c>
    </row>
    <row r="29" spans="1:4" x14ac:dyDescent="0.25">
      <c r="A2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/>
  </sheetViews>
  <sheetFormatPr defaultColWidth="11.42578125" defaultRowHeight="15" x14ac:dyDescent="0.25"/>
  <cols>
    <col min="1" max="1" width="15.7109375" customWidth="1"/>
    <col min="2" max="2" width="13.7109375" customWidth="1"/>
    <col min="3" max="3" width="16.7109375" customWidth="1"/>
    <col min="4" max="4" width="12.7109375" customWidth="1"/>
    <col min="5" max="6" width="13.7109375" customWidth="1"/>
    <col min="7" max="7" width="18.7109375" customWidth="1"/>
  </cols>
  <sheetData>
    <row r="1" spans="1:7" x14ac:dyDescent="0.25">
      <c r="A1" t="s">
        <v>300</v>
      </c>
    </row>
    <row r="3" spans="1:7" x14ac:dyDescent="0.25">
      <c r="A3" s="4" t="s">
        <v>67</v>
      </c>
      <c r="B3" s="3" t="s">
        <v>286</v>
      </c>
      <c r="C3" s="3" t="s">
        <v>293</v>
      </c>
      <c r="D3" s="3" t="s">
        <v>294</v>
      </c>
      <c r="E3" s="3" t="s">
        <v>295</v>
      </c>
      <c r="F3" s="3" t="s">
        <v>296</v>
      </c>
      <c r="G3" s="5" t="s">
        <v>297</v>
      </c>
    </row>
    <row r="4" spans="1:7" x14ac:dyDescent="0.25">
      <c r="A4" s="1" t="s">
        <v>69</v>
      </c>
      <c r="B4" s="103">
        <v>230</v>
      </c>
      <c r="C4" s="120">
        <v>0.32200000000000001</v>
      </c>
      <c r="D4" s="120">
        <v>6.5000000000000002E-2</v>
      </c>
      <c r="E4" s="120">
        <v>9.6000000000000002E-2</v>
      </c>
      <c r="F4" s="120">
        <v>0.28699999999999998</v>
      </c>
      <c r="G4" s="121">
        <v>0.23</v>
      </c>
    </row>
    <row r="5" spans="1:7" x14ac:dyDescent="0.25">
      <c r="A5" s="1" t="s">
        <v>70</v>
      </c>
      <c r="B5" s="103">
        <v>1164</v>
      </c>
      <c r="C5" s="120">
        <v>0.23400000000000001</v>
      </c>
      <c r="D5" s="120">
        <v>7.2999999999999995E-2</v>
      </c>
      <c r="E5" s="120">
        <v>6.9000000000000006E-2</v>
      </c>
      <c r="F5" s="120">
        <v>0.28799999999999998</v>
      </c>
      <c r="G5" s="121">
        <v>0.33700000000000002</v>
      </c>
    </row>
    <row r="6" spans="1:7" x14ac:dyDescent="0.25">
      <c r="A6" s="1" t="s">
        <v>71</v>
      </c>
      <c r="B6" s="103">
        <v>2012</v>
      </c>
      <c r="C6" s="120">
        <v>0.23200000000000001</v>
      </c>
      <c r="D6" s="120">
        <v>7.0999999999999994E-2</v>
      </c>
      <c r="E6" s="120">
        <v>7.0999999999999994E-2</v>
      </c>
      <c r="F6" s="120">
        <v>0.28899999999999998</v>
      </c>
      <c r="G6" s="121">
        <v>0.33800000000000002</v>
      </c>
    </row>
    <row r="7" spans="1:7" x14ac:dyDescent="0.25">
      <c r="A7" s="1" t="s">
        <v>72</v>
      </c>
      <c r="B7" s="103">
        <v>945</v>
      </c>
      <c r="C7" s="120">
        <v>0.26900000000000002</v>
      </c>
      <c r="D7" s="120">
        <v>6.6000000000000003E-2</v>
      </c>
      <c r="E7" s="120">
        <v>0.08</v>
      </c>
      <c r="F7" s="120">
        <v>0.29299999999999998</v>
      </c>
      <c r="G7" s="121">
        <v>0.29199999999999998</v>
      </c>
    </row>
    <row r="8" spans="1:7" x14ac:dyDescent="0.25">
      <c r="A8" s="124" t="s">
        <v>147</v>
      </c>
      <c r="B8" s="144">
        <v>4351</v>
      </c>
      <c r="C8" s="145">
        <v>0.245</v>
      </c>
      <c r="D8" s="145">
        <v>7.0000000000000007E-2</v>
      </c>
      <c r="E8" s="145">
        <v>7.3999999999999996E-2</v>
      </c>
      <c r="F8" s="145">
        <v>0.28899999999999998</v>
      </c>
      <c r="G8" s="146">
        <v>0.32200000000000001</v>
      </c>
    </row>
    <row r="10" spans="1:7" x14ac:dyDescent="0.25">
      <c r="A10" t="s">
        <v>73</v>
      </c>
    </row>
    <row r="12" spans="1:7" x14ac:dyDescent="0.25">
      <c r="A12" t="s">
        <v>283</v>
      </c>
    </row>
    <row r="14" spans="1:7" x14ac:dyDescent="0.25">
      <c r="A14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/>
  </sheetViews>
  <sheetFormatPr defaultColWidth="11.42578125" defaultRowHeight="15" x14ac:dyDescent="0.25"/>
  <cols>
    <col min="1" max="1" width="11.7109375" customWidth="1"/>
    <col min="2" max="2" width="15.7109375" customWidth="1"/>
    <col min="3" max="3" width="18.7109375" customWidth="1"/>
  </cols>
  <sheetData>
    <row r="1" spans="1:3" x14ac:dyDescent="0.25">
      <c r="A1" t="s">
        <v>301</v>
      </c>
    </row>
    <row r="3" spans="1:3" x14ac:dyDescent="0.25">
      <c r="A3" s="4" t="s">
        <v>41</v>
      </c>
      <c r="B3" s="3" t="s">
        <v>67</v>
      </c>
      <c r="C3" s="5" t="s">
        <v>201</v>
      </c>
    </row>
    <row r="4" spans="1:3" x14ac:dyDescent="0.25">
      <c r="A4" s="1" t="s">
        <v>45</v>
      </c>
      <c r="B4" t="s">
        <v>69</v>
      </c>
      <c r="C4" s="104">
        <v>107</v>
      </c>
    </row>
    <row r="5" spans="1:3" x14ac:dyDescent="0.25">
      <c r="A5" s="1" t="s">
        <v>45</v>
      </c>
      <c r="B5" t="s">
        <v>70</v>
      </c>
      <c r="C5" s="104">
        <v>839</v>
      </c>
    </row>
    <row r="6" spans="1:3" x14ac:dyDescent="0.25">
      <c r="A6" s="1" t="s">
        <v>45</v>
      </c>
      <c r="B6" t="s">
        <v>71</v>
      </c>
      <c r="C6" s="104">
        <v>2268</v>
      </c>
    </row>
    <row r="7" spans="1:3" x14ac:dyDescent="0.25">
      <c r="A7" s="1" t="s">
        <v>45</v>
      </c>
      <c r="B7" t="s">
        <v>72</v>
      </c>
      <c r="C7" s="104">
        <v>1431</v>
      </c>
    </row>
    <row r="8" spans="1:3" x14ac:dyDescent="0.25">
      <c r="A8" s="1" t="s">
        <v>46</v>
      </c>
      <c r="B8" t="s">
        <v>69</v>
      </c>
      <c r="C8" s="104">
        <v>91</v>
      </c>
    </row>
    <row r="9" spans="1:3" x14ac:dyDescent="0.25">
      <c r="A9" s="1" t="s">
        <v>46</v>
      </c>
      <c r="B9" t="s">
        <v>70</v>
      </c>
      <c r="C9" s="104">
        <v>476</v>
      </c>
    </row>
    <row r="10" spans="1:3" x14ac:dyDescent="0.25">
      <c r="A10" s="1" t="s">
        <v>46</v>
      </c>
      <c r="B10" t="s">
        <v>71</v>
      </c>
      <c r="C10" s="104">
        <v>949</v>
      </c>
    </row>
    <row r="11" spans="1:3" x14ac:dyDescent="0.25">
      <c r="A11" s="6" t="s">
        <v>46</v>
      </c>
      <c r="B11" s="8" t="s">
        <v>72</v>
      </c>
      <c r="C11" s="105">
        <v>416</v>
      </c>
    </row>
    <row r="13" spans="1:3" x14ac:dyDescent="0.25">
      <c r="A13" t="s">
        <v>73</v>
      </c>
    </row>
    <row r="15" spans="1:3" x14ac:dyDescent="0.25">
      <c r="A15" t="s">
        <v>283</v>
      </c>
    </row>
    <row r="17" spans="1:1" x14ac:dyDescent="0.25">
      <c r="A1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ColWidth="11.42578125" defaultRowHeight="15" x14ac:dyDescent="0.25"/>
  <cols>
    <col min="1" max="1" width="15.7109375" customWidth="1"/>
    <col min="2" max="2" width="14.7109375" customWidth="1"/>
    <col min="3" max="3" width="13.7109375" customWidth="1"/>
    <col min="4" max="4" width="11.7109375" customWidth="1"/>
  </cols>
  <sheetData>
    <row r="1" spans="1:4" x14ac:dyDescent="0.25">
      <c r="A1" t="s">
        <v>302</v>
      </c>
    </row>
    <row r="3" spans="1:4" x14ac:dyDescent="0.25">
      <c r="A3" s="4" t="s">
        <v>67</v>
      </c>
      <c r="B3" s="3" t="s">
        <v>285</v>
      </c>
      <c r="C3" s="3" t="s">
        <v>286</v>
      </c>
      <c r="D3" s="5" t="s">
        <v>3</v>
      </c>
    </row>
    <row r="4" spans="1:4" x14ac:dyDescent="0.25">
      <c r="A4" s="1" t="s">
        <v>69</v>
      </c>
      <c r="B4" t="s">
        <v>287</v>
      </c>
      <c r="C4" s="106">
        <v>51</v>
      </c>
      <c r="D4" s="107">
        <v>0.25757575757575801</v>
      </c>
    </row>
    <row r="5" spans="1:4" x14ac:dyDescent="0.25">
      <c r="A5" s="1" t="s">
        <v>69</v>
      </c>
      <c r="B5" t="s">
        <v>288</v>
      </c>
      <c r="C5" s="106">
        <v>28</v>
      </c>
      <c r="D5" s="107">
        <v>0.14141414141414099</v>
      </c>
    </row>
    <row r="6" spans="1:4" x14ac:dyDescent="0.25">
      <c r="A6" s="1" t="s">
        <v>69</v>
      </c>
      <c r="B6" t="s">
        <v>289</v>
      </c>
      <c r="C6" s="106">
        <v>33</v>
      </c>
      <c r="D6" s="107">
        <v>0.16666666666666699</v>
      </c>
    </row>
    <row r="7" spans="1:4" x14ac:dyDescent="0.25">
      <c r="A7" s="1" t="s">
        <v>69</v>
      </c>
      <c r="B7" t="s">
        <v>290</v>
      </c>
      <c r="C7" s="106">
        <v>33</v>
      </c>
      <c r="D7" s="107">
        <v>0.16666666666666699</v>
      </c>
    </row>
    <row r="8" spans="1:4" x14ac:dyDescent="0.25">
      <c r="A8" s="1" t="s">
        <v>69</v>
      </c>
      <c r="B8" t="s">
        <v>291</v>
      </c>
      <c r="C8" s="106">
        <v>53</v>
      </c>
      <c r="D8" s="107">
        <v>0.26767676767676801</v>
      </c>
    </row>
    <row r="9" spans="1:4" x14ac:dyDescent="0.25">
      <c r="A9" s="1" t="s">
        <v>70</v>
      </c>
      <c r="B9" t="s">
        <v>287</v>
      </c>
      <c r="C9" s="106">
        <v>296</v>
      </c>
      <c r="D9" s="107">
        <v>0.225095057034221</v>
      </c>
    </row>
    <row r="10" spans="1:4" x14ac:dyDescent="0.25">
      <c r="A10" s="1" t="s">
        <v>70</v>
      </c>
      <c r="B10" t="s">
        <v>288</v>
      </c>
      <c r="C10" s="106">
        <v>217</v>
      </c>
      <c r="D10" s="107">
        <v>0.165019011406844</v>
      </c>
    </row>
    <row r="11" spans="1:4" x14ac:dyDescent="0.25">
      <c r="A11" s="1" t="s">
        <v>70</v>
      </c>
      <c r="B11" t="s">
        <v>289</v>
      </c>
      <c r="C11" s="106">
        <v>264</v>
      </c>
      <c r="D11" s="107">
        <v>0.20076045627376399</v>
      </c>
    </row>
    <row r="12" spans="1:4" x14ac:dyDescent="0.25">
      <c r="A12" s="1" t="s">
        <v>70</v>
      </c>
      <c r="B12" t="s">
        <v>290</v>
      </c>
      <c r="C12" s="106">
        <v>206</v>
      </c>
      <c r="D12" s="107">
        <v>0.15665399239543701</v>
      </c>
    </row>
    <row r="13" spans="1:4" x14ac:dyDescent="0.25">
      <c r="A13" s="1" t="s">
        <v>70</v>
      </c>
      <c r="B13" t="s">
        <v>291</v>
      </c>
      <c r="C13" s="106">
        <v>332</v>
      </c>
      <c r="D13" s="107">
        <v>0.25247148288973398</v>
      </c>
    </row>
    <row r="14" spans="1:4" x14ac:dyDescent="0.25">
      <c r="A14" s="1" t="s">
        <v>71</v>
      </c>
      <c r="B14" t="s">
        <v>287</v>
      </c>
      <c r="C14" s="106">
        <v>922</v>
      </c>
      <c r="D14" s="107">
        <v>0.28660242461920998</v>
      </c>
    </row>
    <row r="15" spans="1:4" x14ac:dyDescent="0.25">
      <c r="A15" s="1" t="s">
        <v>71</v>
      </c>
      <c r="B15" t="s">
        <v>288</v>
      </c>
      <c r="C15" s="106">
        <v>449</v>
      </c>
      <c r="D15" s="107">
        <v>0.13957102890892101</v>
      </c>
    </row>
    <row r="16" spans="1:4" x14ac:dyDescent="0.25">
      <c r="A16" s="1" t="s">
        <v>71</v>
      </c>
      <c r="B16" t="s">
        <v>289</v>
      </c>
      <c r="C16" s="106">
        <v>682</v>
      </c>
      <c r="D16" s="107">
        <v>0.211998756605533</v>
      </c>
    </row>
    <row r="17" spans="1:4" x14ac:dyDescent="0.25">
      <c r="A17" s="1" t="s">
        <v>71</v>
      </c>
      <c r="B17" t="s">
        <v>290</v>
      </c>
      <c r="C17" s="106">
        <v>454</v>
      </c>
      <c r="D17" s="107">
        <v>0.14112527199253999</v>
      </c>
    </row>
    <row r="18" spans="1:4" x14ac:dyDescent="0.25">
      <c r="A18" s="1" t="s">
        <v>71</v>
      </c>
      <c r="B18" t="s">
        <v>291</v>
      </c>
      <c r="C18" s="106">
        <v>710</v>
      </c>
      <c r="D18" s="107">
        <v>0.220702517873795</v>
      </c>
    </row>
    <row r="19" spans="1:4" x14ac:dyDescent="0.25">
      <c r="A19" s="1" t="s">
        <v>72</v>
      </c>
      <c r="B19" t="s">
        <v>287</v>
      </c>
      <c r="C19" s="106">
        <v>439</v>
      </c>
      <c r="D19" s="107">
        <v>0.237682728749323</v>
      </c>
    </row>
    <row r="20" spans="1:4" x14ac:dyDescent="0.25">
      <c r="A20" s="1" t="s">
        <v>72</v>
      </c>
      <c r="B20" t="s">
        <v>288</v>
      </c>
      <c r="C20" s="106">
        <v>249</v>
      </c>
      <c r="D20" s="107">
        <v>0.13481321061180301</v>
      </c>
    </row>
    <row r="21" spans="1:4" x14ac:dyDescent="0.25">
      <c r="A21" s="1" t="s">
        <v>72</v>
      </c>
      <c r="B21" t="s">
        <v>289</v>
      </c>
      <c r="C21" s="106">
        <v>386</v>
      </c>
      <c r="D21" s="107">
        <v>0.20898754737412001</v>
      </c>
    </row>
    <row r="22" spans="1:4" x14ac:dyDescent="0.25">
      <c r="A22" s="1" t="s">
        <v>72</v>
      </c>
      <c r="B22" t="s">
        <v>290</v>
      </c>
      <c r="C22" s="106">
        <v>278</v>
      </c>
      <c r="D22" s="107">
        <v>0.15051434759068799</v>
      </c>
    </row>
    <row r="23" spans="1:4" x14ac:dyDescent="0.25">
      <c r="A23" s="6" t="s">
        <v>72</v>
      </c>
      <c r="B23" s="8" t="s">
        <v>291</v>
      </c>
      <c r="C23" s="108">
        <v>495</v>
      </c>
      <c r="D23" s="109">
        <v>0.26800216567406598</v>
      </c>
    </row>
    <row r="25" spans="1:4" x14ac:dyDescent="0.25">
      <c r="A25" t="s">
        <v>73</v>
      </c>
    </row>
    <row r="27" spans="1:4" x14ac:dyDescent="0.25">
      <c r="A27" t="s">
        <v>283</v>
      </c>
    </row>
    <row r="29" spans="1:4" x14ac:dyDescent="0.25">
      <c r="A2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/>
  </sheetViews>
  <sheetFormatPr defaultColWidth="11.42578125" defaultRowHeight="15" x14ac:dyDescent="0.25"/>
  <cols>
    <col min="1" max="1" width="15.7109375" customWidth="1"/>
    <col min="2" max="2" width="13.7109375" customWidth="1"/>
    <col min="3" max="3" width="16.7109375" customWidth="1"/>
    <col min="4" max="4" width="12.7109375" customWidth="1"/>
    <col min="5" max="6" width="13.7109375" customWidth="1"/>
    <col min="7" max="7" width="18.7109375" customWidth="1"/>
  </cols>
  <sheetData>
    <row r="1" spans="1:7" x14ac:dyDescent="0.25">
      <c r="A1" t="s">
        <v>303</v>
      </c>
    </row>
    <row r="3" spans="1:7" x14ac:dyDescent="0.25">
      <c r="A3" s="4" t="s">
        <v>67</v>
      </c>
      <c r="B3" s="3" t="s">
        <v>286</v>
      </c>
      <c r="C3" s="3" t="s">
        <v>293</v>
      </c>
      <c r="D3" s="3" t="s">
        <v>294</v>
      </c>
      <c r="E3" s="3" t="s">
        <v>295</v>
      </c>
      <c r="F3" s="3" t="s">
        <v>296</v>
      </c>
      <c r="G3" s="5" t="s">
        <v>297</v>
      </c>
    </row>
    <row r="4" spans="1:7" x14ac:dyDescent="0.25">
      <c r="A4" s="1" t="s">
        <v>69</v>
      </c>
      <c r="B4" s="110">
        <v>198</v>
      </c>
      <c r="C4" s="117">
        <v>0.24199999999999999</v>
      </c>
      <c r="D4" s="117">
        <v>6.0999999999999999E-2</v>
      </c>
      <c r="E4" s="117">
        <v>0.111</v>
      </c>
      <c r="F4" s="117">
        <v>0.23200000000000001</v>
      </c>
      <c r="G4" s="118">
        <v>0.35399999999999998</v>
      </c>
    </row>
    <row r="5" spans="1:7" x14ac:dyDescent="0.25">
      <c r="A5" s="1" t="s">
        <v>70</v>
      </c>
      <c r="B5" s="110">
        <v>1315</v>
      </c>
      <c r="C5" s="117">
        <v>0.20799999999999999</v>
      </c>
      <c r="D5" s="117">
        <v>7.4999999999999997E-2</v>
      </c>
      <c r="E5" s="117">
        <v>8.5999999999999993E-2</v>
      </c>
      <c r="F5" s="117">
        <v>0.23599999999999999</v>
      </c>
      <c r="G5" s="118">
        <v>0.39500000000000002</v>
      </c>
    </row>
    <row r="6" spans="1:7" x14ac:dyDescent="0.25">
      <c r="A6" s="1" t="s">
        <v>71</v>
      </c>
      <c r="B6" s="110">
        <v>3217</v>
      </c>
      <c r="C6" s="117">
        <v>0.20200000000000001</v>
      </c>
      <c r="D6" s="117">
        <v>6.8000000000000005E-2</v>
      </c>
      <c r="E6" s="117">
        <v>7.0000000000000007E-2</v>
      </c>
      <c r="F6" s="117">
        <v>0.23599999999999999</v>
      </c>
      <c r="G6" s="118">
        <v>0.42299999999999999</v>
      </c>
    </row>
    <row r="7" spans="1:7" x14ac:dyDescent="0.25">
      <c r="A7" s="1" t="s">
        <v>72</v>
      </c>
      <c r="B7" s="110">
        <v>1847</v>
      </c>
      <c r="C7" s="117">
        <v>0.249</v>
      </c>
      <c r="D7" s="117">
        <v>6.0999999999999999E-2</v>
      </c>
      <c r="E7" s="117">
        <v>7.0999999999999994E-2</v>
      </c>
      <c r="F7" s="117">
        <v>0.25600000000000001</v>
      </c>
      <c r="G7" s="118">
        <v>0.36299999999999999</v>
      </c>
    </row>
    <row r="8" spans="1:7" x14ac:dyDescent="0.25">
      <c r="A8" s="124" t="s">
        <v>147</v>
      </c>
      <c r="B8" s="144">
        <v>6577</v>
      </c>
      <c r="C8" s="147">
        <v>0.218</v>
      </c>
      <c r="D8" s="147">
        <v>6.7000000000000004E-2</v>
      </c>
      <c r="E8" s="147">
        <v>7.4999999999999997E-2</v>
      </c>
      <c r="F8" s="147">
        <v>0.24199999999999999</v>
      </c>
      <c r="G8" s="148">
        <v>0.39900000000000002</v>
      </c>
    </row>
    <row r="10" spans="1:7" x14ac:dyDescent="0.25">
      <c r="A10" t="s">
        <v>73</v>
      </c>
    </row>
    <row r="12" spans="1:7" x14ac:dyDescent="0.25">
      <c r="A12" t="s">
        <v>283</v>
      </c>
    </row>
    <row r="14" spans="1:7" x14ac:dyDescent="0.25">
      <c r="A14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/>
  </sheetViews>
  <sheetFormatPr defaultColWidth="11.42578125" defaultRowHeight="15" x14ac:dyDescent="0.25"/>
  <cols>
    <col min="1" max="1" width="6.7109375" customWidth="1"/>
    <col min="2" max="2" width="11.7109375" customWidth="1"/>
    <col min="3" max="3" width="18.7109375" customWidth="1"/>
  </cols>
  <sheetData>
    <row r="1" spans="1:3" x14ac:dyDescent="0.25">
      <c r="A1" t="s">
        <v>304</v>
      </c>
    </row>
    <row r="3" spans="1:3" x14ac:dyDescent="0.25">
      <c r="A3" s="4" t="s">
        <v>2</v>
      </c>
      <c r="B3" s="3" t="s">
        <v>41</v>
      </c>
      <c r="C3" s="5" t="s">
        <v>201</v>
      </c>
    </row>
    <row r="4" spans="1:3" x14ac:dyDescent="0.25">
      <c r="A4" s="1">
        <v>2014</v>
      </c>
      <c r="B4" t="s">
        <v>45</v>
      </c>
      <c r="C4" s="111">
        <v>107707</v>
      </c>
    </row>
    <row r="5" spans="1:3" x14ac:dyDescent="0.25">
      <c r="A5" s="1">
        <v>2014</v>
      </c>
      <c r="B5" t="s">
        <v>46</v>
      </c>
      <c r="C5" s="111">
        <v>30492</v>
      </c>
    </row>
    <row r="6" spans="1:3" x14ac:dyDescent="0.25">
      <c r="A6" s="1">
        <v>2014</v>
      </c>
      <c r="B6" t="s">
        <v>111</v>
      </c>
      <c r="C6" s="111">
        <v>138199</v>
      </c>
    </row>
    <row r="7" spans="1:3" x14ac:dyDescent="0.25">
      <c r="A7" s="1">
        <v>2015</v>
      </c>
      <c r="B7" t="s">
        <v>45</v>
      </c>
      <c r="C7" s="111">
        <v>121993</v>
      </c>
    </row>
    <row r="8" spans="1:3" x14ac:dyDescent="0.25">
      <c r="A8" s="1">
        <v>2015</v>
      </c>
      <c r="B8" t="s">
        <v>46</v>
      </c>
      <c r="C8" s="111">
        <v>34259</v>
      </c>
    </row>
    <row r="9" spans="1:3" x14ac:dyDescent="0.25">
      <c r="A9" s="1">
        <v>2015</v>
      </c>
      <c r="B9" t="s">
        <v>111</v>
      </c>
      <c r="C9" s="111">
        <v>156252</v>
      </c>
    </row>
    <row r="10" spans="1:3" x14ac:dyDescent="0.25">
      <c r="A10" s="1">
        <v>2016</v>
      </c>
      <c r="B10" t="s">
        <v>45</v>
      </c>
      <c r="C10" s="111">
        <v>128754</v>
      </c>
    </row>
    <row r="11" spans="1:3" x14ac:dyDescent="0.25">
      <c r="A11" s="1">
        <v>2016</v>
      </c>
      <c r="B11" t="s">
        <v>46</v>
      </c>
      <c r="C11" s="111">
        <v>36529</v>
      </c>
    </row>
    <row r="12" spans="1:3" x14ac:dyDescent="0.25">
      <c r="A12" s="1">
        <v>2016</v>
      </c>
      <c r="B12" t="s">
        <v>111</v>
      </c>
      <c r="C12" s="111">
        <v>165283</v>
      </c>
    </row>
    <row r="13" spans="1:3" x14ac:dyDescent="0.25">
      <c r="A13" s="1">
        <v>2017</v>
      </c>
      <c r="B13" t="s">
        <v>45</v>
      </c>
      <c r="C13" s="111">
        <v>136048</v>
      </c>
    </row>
    <row r="14" spans="1:3" x14ac:dyDescent="0.25">
      <c r="A14" s="1">
        <v>2017</v>
      </c>
      <c r="B14" t="s">
        <v>46</v>
      </c>
      <c r="C14" s="111">
        <v>38538</v>
      </c>
    </row>
    <row r="15" spans="1:3" x14ac:dyDescent="0.25">
      <c r="A15" s="1">
        <v>2017</v>
      </c>
      <c r="B15" t="s">
        <v>111</v>
      </c>
      <c r="C15" s="111">
        <v>174586</v>
      </c>
    </row>
    <row r="16" spans="1:3" x14ac:dyDescent="0.25">
      <c r="A16" s="1">
        <v>2018</v>
      </c>
      <c r="B16" t="s">
        <v>45</v>
      </c>
      <c r="C16" s="111">
        <v>139054</v>
      </c>
    </row>
    <row r="17" spans="1:3" x14ac:dyDescent="0.25">
      <c r="A17" s="1">
        <v>2018</v>
      </c>
      <c r="B17" t="s">
        <v>46</v>
      </c>
      <c r="C17" s="111">
        <v>39390</v>
      </c>
    </row>
    <row r="18" spans="1:3" x14ac:dyDescent="0.25">
      <c r="A18" s="1">
        <v>2018</v>
      </c>
      <c r="B18" t="s">
        <v>111</v>
      </c>
      <c r="C18" s="111">
        <v>178444</v>
      </c>
    </row>
    <row r="19" spans="1:3" x14ac:dyDescent="0.25">
      <c r="A19" s="1">
        <v>2019</v>
      </c>
      <c r="B19" t="s">
        <v>45</v>
      </c>
      <c r="C19" s="111">
        <v>138829</v>
      </c>
    </row>
    <row r="20" spans="1:3" x14ac:dyDescent="0.25">
      <c r="A20" s="1">
        <v>2019</v>
      </c>
      <c r="B20" t="s">
        <v>46</v>
      </c>
      <c r="C20" s="111">
        <v>39527</v>
      </c>
    </row>
    <row r="21" spans="1:3" x14ac:dyDescent="0.25">
      <c r="A21" s="1">
        <v>2019</v>
      </c>
      <c r="B21" t="s">
        <v>111</v>
      </c>
      <c r="C21" s="111">
        <v>178356</v>
      </c>
    </row>
    <row r="22" spans="1:3" x14ac:dyDescent="0.25">
      <c r="A22" s="1">
        <v>2020</v>
      </c>
      <c r="B22" t="s">
        <v>45</v>
      </c>
      <c r="C22" s="111">
        <v>147610</v>
      </c>
    </row>
    <row r="23" spans="1:3" x14ac:dyDescent="0.25">
      <c r="A23" s="1">
        <v>2020</v>
      </c>
      <c r="B23" t="s">
        <v>46</v>
      </c>
      <c r="C23" s="111">
        <v>43224</v>
      </c>
    </row>
    <row r="24" spans="1:3" x14ac:dyDescent="0.25">
      <c r="A24" s="1">
        <v>2020</v>
      </c>
      <c r="B24" t="s">
        <v>111</v>
      </c>
      <c r="C24" s="111">
        <v>190834</v>
      </c>
    </row>
    <row r="25" spans="1:3" x14ac:dyDescent="0.25">
      <c r="A25" s="1">
        <v>2021</v>
      </c>
      <c r="B25" t="s">
        <v>45</v>
      </c>
      <c r="C25" s="111">
        <v>138810</v>
      </c>
    </row>
    <row r="26" spans="1:3" x14ac:dyDescent="0.25">
      <c r="A26" s="1">
        <v>2021</v>
      </c>
      <c r="B26" t="s">
        <v>46</v>
      </c>
      <c r="C26" s="111">
        <v>40019</v>
      </c>
    </row>
    <row r="27" spans="1:3" x14ac:dyDescent="0.25">
      <c r="A27" s="1">
        <v>2021</v>
      </c>
      <c r="B27" t="s">
        <v>111</v>
      </c>
      <c r="C27" s="111">
        <v>178829</v>
      </c>
    </row>
    <row r="28" spans="1:3" x14ac:dyDescent="0.25">
      <c r="A28" s="1">
        <v>2022</v>
      </c>
      <c r="B28" t="s">
        <v>45</v>
      </c>
      <c r="C28" s="111">
        <v>132156</v>
      </c>
    </row>
    <row r="29" spans="1:3" x14ac:dyDescent="0.25">
      <c r="A29" s="1">
        <v>2022</v>
      </c>
      <c r="B29" t="s">
        <v>46</v>
      </c>
      <c r="C29" s="111">
        <v>37365</v>
      </c>
    </row>
    <row r="30" spans="1:3" x14ac:dyDescent="0.25">
      <c r="A30" s="6">
        <v>2022</v>
      </c>
      <c r="B30" s="8" t="s">
        <v>111</v>
      </c>
      <c r="C30" s="112">
        <v>169521</v>
      </c>
    </row>
    <row r="32" spans="1:3" x14ac:dyDescent="0.25">
      <c r="A32" t="s">
        <v>73</v>
      </c>
    </row>
    <row r="34" spans="1:1" x14ac:dyDescent="0.25">
      <c r="A34" t="s">
        <v>305</v>
      </c>
    </row>
    <row r="36" spans="1:1" x14ac:dyDescent="0.25">
      <c r="A36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11.42578125" defaultRowHeight="15" x14ac:dyDescent="0.25"/>
  <cols>
    <col min="1" max="1" width="21.7109375" customWidth="1"/>
    <col min="2" max="2" width="29.7109375" customWidth="1"/>
  </cols>
  <sheetData>
    <row r="1" spans="1:2" x14ac:dyDescent="0.25">
      <c r="A1" t="s">
        <v>306</v>
      </c>
    </row>
    <row r="3" spans="1:2" x14ac:dyDescent="0.25">
      <c r="A3" s="4" t="s">
        <v>78</v>
      </c>
      <c r="B3" s="5" t="s">
        <v>307</v>
      </c>
    </row>
    <row r="4" spans="1:2" x14ac:dyDescent="0.25">
      <c r="A4" s="1" t="s">
        <v>216</v>
      </c>
      <c r="B4" s="121">
        <v>1.4999999999999999E-2</v>
      </c>
    </row>
    <row r="5" spans="1:2" x14ac:dyDescent="0.25">
      <c r="A5" s="1" t="s">
        <v>217</v>
      </c>
      <c r="B5" s="121">
        <v>1.0999999999999999E-2</v>
      </c>
    </row>
    <row r="6" spans="1:2" x14ac:dyDescent="0.25">
      <c r="A6" s="1" t="s">
        <v>218</v>
      </c>
      <c r="B6" s="121">
        <v>1.2E-2</v>
      </c>
    </row>
    <row r="7" spans="1:2" x14ac:dyDescent="0.25">
      <c r="A7" s="1" t="s">
        <v>219</v>
      </c>
      <c r="B7" s="121">
        <v>1.7999999999999999E-2</v>
      </c>
    </row>
    <row r="8" spans="1:2" x14ac:dyDescent="0.25">
      <c r="A8" s="1" t="s">
        <v>220</v>
      </c>
      <c r="B8" s="121">
        <v>1.7999999999999999E-2</v>
      </c>
    </row>
    <row r="9" spans="1:2" x14ac:dyDescent="0.25">
      <c r="A9" s="1" t="s">
        <v>221</v>
      </c>
      <c r="B9" s="121">
        <v>1.7999999999999999E-2</v>
      </c>
    </row>
    <row r="10" spans="1:2" x14ac:dyDescent="0.25">
      <c r="A10" s="1" t="s">
        <v>222</v>
      </c>
      <c r="B10" s="121">
        <v>1.4999999999999999E-2</v>
      </c>
    </row>
    <row r="11" spans="1:2" x14ac:dyDescent="0.25">
      <c r="A11" s="1" t="s">
        <v>223</v>
      </c>
      <c r="B11" s="121">
        <v>1.4999999999999999E-2</v>
      </c>
    </row>
    <row r="12" spans="1:2" x14ac:dyDescent="0.25">
      <c r="A12" s="1" t="s">
        <v>224</v>
      </c>
      <c r="B12" s="121">
        <v>2.1000000000000001E-2</v>
      </c>
    </row>
    <row r="13" spans="1:2" x14ac:dyDescent="0.25">
      <c r="A13" s="1" t="s">
        <v>225</v>
      </c>
      <c r="B13" s="121">
        <v>0.01</v>
      </c>
    </row>
    <row r="14" spans="1:2" x14ac:dyDescent="0.25">
      <c r="A14" s="1" t="s">
        <v>226</v>
      </c>
      <c r="B14" s="121">
        <v>1.0999999999999999E-2</v>
      </c>
    </row>
    <row r="15" spans="1:2" x14ac:dyDescent="0.25">
      <c r="A15" s="1" t="s">
        <v>227</v>
      </c>
      <c r="B15" s="121">
        <v>1.0999999999999999E-2</v>
      </c>
    </row>
    <row r="16" spans="1:2" x14ac:dyDescent="0.25">
      <c r="A16" s="1" t="s">
        <v>228</v>
      </c>
      <c r="B16" s="121">
        <v>1.7999999999999999E-2</v>
      </c>
    </row>
    <row r="17" spans="1:2" x14ac:dyDescent="0.25">
      <c r="A17" s="1" t="s">
        <v>229</v>
      </c>
      <c r="B17" s="121">
        <v>1.9E-2</v>
      </c>
    </row>
    <row r="18" spans="1:2" x14ac:dyDescent="0.25">
      <c r="A18" s="1" t="s">
        <v>230</v>
      </c>
      <c r="B18" s="121">
        <v>1.4999999999999999E-2</v>
      </c>
    </row>
    <row r="19" spans="1:2" x14ac:dyDescent="0.25">
      <c r="A19" s="6" t="s">
        <v>231</v>
      </c>
      <c r="B19" s="123">
        <v>1.2999999999999999E-2</v>
      </c>
    </row>
    <row r="21" spans="1:2" x14ac:dyDescent="0.25">
      <c r="A21" t="s">
        <v>73</v>
      </c>
    </row>
    <row r="23" spans="1:2" x14ac:dyDescent="0.25">
      <c r="A23" t="s">
        <v>305</v>
      </c>
    </row>
    <row r="25" spans="1:2" x14ac:dyDescent="0.25">
      <c r="A25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/>
  </sheetViews>
  <sheetFormatPr defaultColWidth="11.42578125" defaultRowHeight="15" x14ac:dyDescent="0.25"/>
  <cols>
    <col min="1" max="1" width="17.7109375" customWidth="1"/>
    <col min="2" max="2" width="18.7109375" customWidth="1"/>
    <col min="3" max="4" width="25.7109375" customWidth="1"/>
  </cols>
  <sheetData>
    <row r="1" spans="1:4" x14ac:dyDescent="0.25">
      <c r="A1" t="s">
        <v>49</v>
      </c>
    </row>
    <row r="3" spans="1:4" x14ac:dyDescent="0.25">
      <c r="A3" s="4" t="s">
        <v>1</v>
      </c>
      <c r="B3" s="3" t="s">
        <v>42</v>
      </c>
      <c r="C3" s="3" t="s">
        <v>43</v>
      </c>
      <c r="D3" s="5" t="s">
        <v>44</v>
      </c>
    </row>
    <row r="4" spans="1:4" x14ac:dyDescent="0.25">
      <c r="A4" s="1" t="s">
        <v>4</v>
      </c>
      <c r="B4" s="28">
        <v>6.6E-3</v>
      </c>
      <c r="C4" s="28">
        <v>7.7999999999999996E-3</v>
      </c>
      <c r="D4" s="29">
        <v>5.4000000000000003E-3</v>
      </c>
    </row>
    <row r="5" spans="1:4" x14ac:dyDescent="0.25">
      <c r="A5" s="1" t="s">
        <v>7</v>
      </c>
      <c r="B5" s="28">
        <v>6.7000000000000002E-3</v>
      </c>
      <c r="C5" s="28">
        <v>7.7999999999999996E-3</v>
      </c>
      <c r="D5" s="29">
        <v>5.5999999999999999E-3</v>
      </c>
    </row>
    <row r="6" spans="1:4" x14ac:dyDescent="0.25">
      <c r="A6" s="1" t="s">
        <v>6</v>
      </c>
      <c r="B6" s="28">
        <v>7.3000000000000001E-3</v>
      </c>
      <c r="C6" s="28">
        <v>8.6E-3</v>
      </c>
      <c r="D6" s="29">
        <v>6.1000000000000004E-3</v>
      </c>
    </row>
    <row r="7" spans="1:4" x14ac:dyDescent="0.25">
      <c r="A7" s="1" t="s">
        <v>9</v>
      </c>
      <c r="B7" s="28">
        <v>7.6E-3</v>
      </c>
      <c r="C7" s="28">
        <v>8.8999999999999999E-3</v>
      </c>
      <c r="D7" s="29">
        <v>6.1999999999999998E-3</v>
      </c>
    </row>
    <row r="8" spans="1:4" x14ac:dyDescent="0.25">
      <c r="A8" s="1" t="s">
        <v>10</v>
      </c>
      <c r="B8" s="28">
        <v>8.8000000000000005E-3</v>
      </c>
      <c r="C8" s="28">
        <v>1.04E-2</v>
      </c>
      <c r="D8" s="29">
        <v>7.4000000000000003E-3</v>
      </c>
    </row>
    <row r="9" spans="1:4" x14ac:dyDescent="0.25">
      <c r="A9" s="1" t="s">
        <v>13</v>
      </c>
      <c r="B9" s="28">
        <v>8.9999999999999993E-3</v>
      </c>
      <c r="C9" s="28">
        <v>1.0500000000000001E-2</v>
      </c>
      <c r="D9" s="29">
        <v>7.4999999999999997E-3</v>
      </c>
    </row>
    <row r="10" spans="1:4" x14ac:dyDescent="0.25">
      <c r="A10" s="1" t="s">
        <v>14</v>
      </c>
      <c r="B10" s="28">
        <v>9.1999999999999998E-3</v>
      </c>
      <c r="C10" s="28">
        <v>1.0699999999999999E-2</v>
      </c>
      <c r="D10" s="29">
        <v>7.4999999999999997E-3</v>
      </c>
    </row>
    <row r="11" spans="1:4" x14ac:dyDescent="0.25">
      <c r="A11" s="1" t="s">
        <v>11</v>
      </c>
      <c r="B11" s="28">
        <v>9.2999999999999992E-3</v>
      </c>
      <c r="C11" s="28">
        <v>1.09E-2</v>
      </c>
      <c r="D11" s="29">
        <v>7.7999999999999996E-3</v>
      </c>
    </row>
    <row r="12" spans="1:4" x14ac:dyDescent="0.25">
      <c r="A12" s="1" t="s">
        <v>30</v>
      </c>
      <c r="B12" s="28">
        <v>9.7999999999999997E-3</v>
      </c>
      <c r="C12" s="28">
        <v>1.1599999999999999E-2</v>
      </c>
      <c r="D12" s="29">
        <v>8.0999999999999996E-3</v>
      </c>
    </row>
    <row r="13" spans="1:4" x14ac:dyDescent="0.25">
      <c r="A13" s="1" t="s">
        <v>19</v>
      </c>
      <c r="B13" s="28">
        <v>9.9000000000000008E-3</v>
      </c>
      <c r="C13" s="28">
        <v>1.15E-2</v>
      </c>
      <c r="D13" s="29">
        <v>8.2000000000000007E-3</v>
      </c>
    </row>
    <row r="14" spans="1:4" x14ac:dyDescent="0.25">
      <c r="A14" s="1" t="s">
        <v>26</v>
      </c>
      <c r="B14" s="28">
        <v>9.9000000000000008E-3</v>
      </c>
      <c r="C14" s="28">
        <v>1.17E-2</v>
      </c>
      <c r="D14" s="29">
        <v>8.2000000000000007E-3</v>
      </c>
    </row>
    <row r="15" spans="1:4" x14ac:dyDescent="0.25">
      <c r="A15" s="1" t="s">
        <v>12</v>
      </c>
      <c r="B15" s="28">
        <v>0.01</v>
      </c>
      <c r="C15" s="28">
        <v>1.18E-2</v>
      </c>
      <c r="D15" s="29">
        <v>8.3000000000000001E-3</v>
      </c>
    </row>
    <row r="16" spans="1:4" x14ac:dyDescent="0.25">
      <c r="A16" s="1" t="s">
        <v>31</v>
      </c>
      <c r="B16" s="28">
        <v>0.01</v>
      </c>
      <c r="C16" s="28">
        <v>1.18E-2</v>
      </c>
      <c r="D16" s="29">
        <v>8.3000000000000001E-3</v>
      </c>
    </row>
    <row r="17" spans="1:4" x14ac:dyDescent="0.25">
      <c r="A17" s="1" t="s">
        <v>21</v>
      </c>
      <c r="B17" s="28">
        <v>1.0200000000000001E-2</v>
      </c>
      <c r="C17" s="28">
        <v>1.21E-2</v>
      </c>
      <c r="D17" s="29">
        <v>8.5000000000000006E-3</v>
      </c>
    </row>
    <row r="18" spans="1:4" x14ac:dyDescent="0.25">
      <c r="A18" s="1" t="s">
        <v>16</v>
      </c>
      <c r="B18" s="28">
        <v>1.0200000000000001E-2</v>
      </c>
      <c r="C18" s="28">
        <v>1.1900000000000001E-2</v>
      </c>
      <c r="D18" s="29">
        <v>8.5000000000000006E-3</v>
      </c>
    </row>
    <row r="19" spans="1:4" x14ac:dyDescent="0.25">
      <c r="A19" s="1" t="s">
        <v>29</v>
      </c>
      <c r="B19" s="28">
        <v>1.0200000000000001E-2</v>
      </c>
      <c r="C19" s="28">
        <v>1.21E-2</v>
      </c>
      <c r="D19" s="29">
        <v>8.3999999999999995E-3</v>
      </c>
    </row>
    <row r="20" spans="1:4" x14ac:dyDescent="0.25">
      <c r="A20" s="1" t="s">
        <v>23</v>
      </c>
      <c r="B20" s="28">
        <v>1.0200000000000001E-2</v>
      </c>
      <c r="C20" s="28">
        <v>1.18E-2</v>
      </c>
      <c r="D20" s="29">
        <v>8.6999999999999994E-3</v>
      </c>
    </row>
    <row r="21" spans="1:4" x14ac:dyDescent="0.25">
      <c r="A21" s="1" t="s">
        <v>20</v>
      </c>
      <c r="B21" s="28">
        <v>1.03E-2</v>
      </c>
      <c r="C21" s="28">
        <v>1.2E-2</v>
      </c>
      <c r="D21" s="29">
        <v>8.6E-3</v>
      </c>
    </row>
    <row r="22" spans="1:4" x14ac:dyDescent="0.25">
      <c r="A22" s="1" t="s">
        <v>17</v>
      </c>
      <c r="B22" s="28">
        <v>1.03E-2</v>
      </c>
      <c r="C22" s="28">
        <v>1.2E-2</v>
      </c>
      <c r="D22" s="29">
        <v>8.6999999999999994E-3</v>
      </c>
    </row>
    <row r="23" spans="1:4" x14ac:dyDescent="0.25">
      <c r="A23" s="1" t="s">
        <v>15</v>
      </c>
      <c r="B23" s="28">
        <v>1.04E-2</v>
      </c>
      <c r="C23" s="28">
        <v>1.23E-2</v>
      </c>
      <c r="D23" s="29">
        <v>8.5000000000000006E-3</v>
      </c>
    </row>
    <row r="24" spans="1:4" x14ac:dyDescent="0.25">
      <c r="A24" s="1" t="s">
        <v>24</v>
      </c>
      <c r="B24" s="28">
        <v>1.0699999999999999E-2</v>
      </c>
      <c r="C24" s="28">
        <v>1.2699999999999999E-2</v>
      </c>
      <c r="D24" s="29">
        <v>8.6E-3</v>
      </c>
    </row>
    <row r="25" spans="1:4" x14ac:dyDescent="0.25">
      <c r="A25" s="1" t="s">
        <v>22</v>
      </c>
      <c r="B25" s="28">
        <v>1.0699999999999999E-2</v>
      </c>
      <c r="C25" s="28">
        <v>1.26E-2</v>
      </c>
      <c r="D25" s="29">
        <v>8.8999999999999999E-3</v>
      </c>
    </row>
    <row r="26" spans="1:4" x14ac:dyDescent="0.25">
      <c r="A26" s="1" t="s">
        <v>18</v>
      </c>
      <c r="B26" s="28">
        <v>1.09E-2</v>
      </c>
      <c r="C26" s="28">
        <v>1.2800000000000001E-2</v>
      </c>
      <c r="D26" s="29">
        <v>8.9999999999999993E-3</v>
      </c>
    </row>
    <row r="27" spans="1:4" x14ac:dyDescent="0.25">
      <c r="A27" s="1" t="s">
        <v>25</v>
      </c>
      <c r="B27" s="28">
        <v>1.0999999999999999E-2</v>
      </c>
      <c r="C27" s="28">
        <v>1.29E-2</v>
      </c>
      <c r="D27" s="29">
        <v>9.2999999999999992E-3</v>
      </c>
    </row>
    <row r="28" spans="1:4" x14ac:dyDescent="0.25">
      <c r="A28" s="1" t="s">
        <v>27</v>
      </c>
      <c r="B28" s="28">
        <v>1.11E-2</v>
      </c>
      <c r="C28" s="28">
        <v>1.3100000000000001E-2</v>
      </c>
      <c r="D28" s="29">
        <v>9.1000000000000004E-3</v>
      </c>
    </row>
    <row r="29" spans="1:4" x14ac:dyDescent="0.25">
      <c r="A29" s="1" t="s">
        <v>33</v>
      </c>
      <c r="B29" s="28">
        <v>1.18E-2</v>
      </c>
      <c r="C29" s="28">
        <v>1.3899999999999999E-2</v>
      </c>
      <c r="D29" s="29">
        <v>9.7000000000000003E-3</v>
      </c>
    </row>
    <row r="30" spans="1:4" x14ac:dyDescent="0.25">
      <c r="A30" s="1" t="s">
        <v>28</v>
      </c>
      <c r="B30" s="28">
        <v>1.1900000000000001E-2</v>
      </c>
      <c r="C30" s="28">
        <v>1.4E-2</v>
      </c>
      <c r="D30" s="29">
        <v>9.9000000000000008E-3</v>
      </c>
    </row>
    <row r="31" spans="1:4" x14ac:dyDescent="0.25">
      <c r="A31" s="1" t="s">
        <v>34</v>
      </c>
      <c r="B31" s="28">
        <v>1.24E-2</v>
      </c>
      <c r="C31" s="28">
        <v>1.46E-2</v>
      </c>
      <c r="D31" s="29">
        <v>1.03E-2</v>
      </c>
    </row>
    <row r="32" spans="1:4" x14ac:dyDescent="0.25">
      <c r="A32" s="1" t="s">
        <v>32</v>
      </c>
      <c r="B32" s="28">
        <v>1.3899999999999999E-2</v>
      </c>
      <c r="C32" s="28">
        <v>1.6299999999999999E-2</v>
      </c>
      <c r="D32" s="29">
        <v>1.15E-2</v>
      </c>
    </row>
    <row r="33" spans="1:4" x14ac:dyDescent="0.25">
      <c r="A33" s="6" t="s">
        <v>35</v>
      </c>
      <c r="B33" s="30">
        <v>1.47E-2</v>
      </c>
      <c r="C33" s="30">
        <v>1.7399999999999999E-2</v>
      </c>
      <c r="D33" s="31">
        <v>1.23E-2</v>
      </c>
    </row>
    <row r="35" spans="1:4" x14ac:dyDescent="0.25">
      <c r="A35" t="s">
        <v>37</v>
      </c>
    </row>
    <row r="37" spans="1:4" x14ac:dyDescent="0.25">
      <c r="A37" t="s">
        <v>38</v>
      </c>
    </row>
    <row r="39" spans="1:4" x14ac:dyDescent="0.25">
      <c r="A3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/>
  </sheetViews>
  <sheetFormatPr defaultColWidth="11.42578125" defaultRowHeight="15" x14ac:dyDescent="0.25"/>
  <cols>
    <col min="1" max="1" width="6.7109375" customWidth="1"/>
    <col min="2" max="2" width="19.7109375" customWidth="1"/>
    <col min="3" max="3" width="20.7109375" customWidth="1"/>
  </cols>
  <sheetData>
    <row r="1" spans="1:3" x14ac:dyDescent="0.25">
      <c r="A1" t="s">
        <v>308</v>
      </c>
    </row>
    <row r="3" spans="1:3" x14ac:dyDescent="0.25">
      <c r="A3" s="4" t="s">
        <v>2</v>
      </c>
      <c r="B3" s="3" t="s">
        <v>309</v>
      </c>
      <c r="C3" s="5" t="s">
        <v>310</v>
      </c>
    </row>
    <row r="4" spans="1:3" x14ac:dyDescent="0.25">
      <c r="A4" s="1">
        <v>2014</v>
      </c>
      <c r="B4" t="s">
        <v>311</v>
      </c>
      <c r="C4" s="113">
        <v>50.8</v>
      </c>
    </row>
    <row r="5" spans="1:3" x14ac:dyDescent="0.25">
      <c r="A5" s="1">
        <v>2014</v>
      </c>
      <c r="B5" t="s">
        <v>238</v>
      </c>
      <c r="C5" s="113">
        <v>53.1</v>
      </c>
    </row>
    <row r="6" spans="1:3" x14ac:dyDescent="0.25">
      <c r="A6" s="1">
        <v>2015</v>
      </c>
      <c r="B6" t="s">
        <v>311</v>
      </c>
      <c r="C6" s="113">
        <v>68</v>
      </c>
    </row>
    <row r="7" spans="1:3" x14ac:dyDescent="0.25">
      <c r="A7" s="1">
        <v>2015</v>
      </c>
      <c r="B7" t="s">
        <v>238</v>
      </c>
      <c r="C7" s="113">
        <v>70.400000000000006</v>
      </c>
    </row>
    <row r="8" spans="1:3" x14ac:dyDescent="0.25">
      <c r="A8" s="1">
        <v>2016</v>
      </c>
      <c r="B8" t="s">
        <v>311</v>
      </c>
      <c r="C8" s="113">
        <v>73.2</v>
      </c>
    </row>
    <row r="9" spans="1:3" x14ac:dyDescent="0.25">
      <c r="A9" s="1">
        <v>2016</v>
      </c>
      <c r="B9" t="s">
        <v>238</v>
      </c>
      <c r="C9" s="113">
        <v>75.2</v>
      </c>
    </row>
    <row r="10" spans="1:3" x14ac:dyDescent="0.25">
      <c r="A10" s="1">
        <v>2017</v>
      </c>
      <c r="B10" t="s">
        <v>311</v>
      </c>
      <c r="C10" s="113">
        <v>78.599999999999994</v>
      </c>
    </row>
    <row r="11" spans="1:3" x14ac:dyDescent="0.25">
      <c r="A11" s="1">
        <v>2017</v>
      </c>
      <c r="B11" t="s">
        <v>238</v>
      </c>
      <c r="C11" s="113">
        <v>79.099999999999994</v>
      </c>
    </row>
    <row r="12" spans="1:3" x14ac:dyDescent="0.25">
      <c r="A12" s="1">
        <v>2018</v>
      </c>
      <c r="B12" t="s">
        <v>311</v>
      </c>
      <c r="C12" s="113">
        <v>86.9</v>
      </c>
    </row>
    <row r="13" spans="1:3" x14ac:dyDescent="0.25">
      <c r="A13" s="1">
        <v>2018</v>
      </c>
      <c r="B13" t="s">
        <v>238</v>
      </c>
      <c r="C13" s="113">
        <v>82.1</v>
      </c>
    </row>
    <row r="14" spans="1:3" x14ac:dyDescent="0.25">
      <c r="A14" s="1">
        <v>2019</v>
      </c>
      <c r="B14" t="s">
        <v>311</v>
      </c>
      <c r="C14" s="113">
        <v>94.7</v>
      </c>
    </row>
    <row r="15" spans="1:3" x14ac:dyDescent="0.25">
      <c r="A15" s="1">
        <v>2019</v>
      </c>
      <c r="B15" t="s">
        <v>238</v>
      </c>
      <c r="C15" s="113">
        <v>87.1</v>
      </c>
    </row>
    <row r="16" spans="1:3" x14ac:dyDescent="0.25">
      <c r="A16" s="1">
        <v>2020</v>
      </c>
      <c r="B16" t="s">
        <v>311</v>
      </c>
      <c r="C16" s="113">
        <v>99.6</v>
      </c>
    </row>
    <row r="17" spans="1:3" x14ac:dyDescent="0.25">
      <c r="A17" s="1">
        <v>2020</v>
      </c>
      <c r="B17" t="s">
        <v>238</v>
      </c>
      <c r="C17" s="113">
        <v>88.6</v>
      </c>
    </row>
    <row r="18" spans="1:3" x14ac:dyDescent="0.25">
      <c r="A18" s="1">
        <v>2021</v>
      </c>
      <c r="B18" t="s">
        <v>311</v>
      </c>
      <c r="C18" s="113">
        <v>100.4</v>
      </c>
    </row>
    <row r="19" spans="1:3" x14ac:dyDescent="0.25">
      <c r="A19" s="1">
        <v>2021</v>
      </c>
      <c r="B19" t="s">
        <v>238</v>
      </c>
      <c r="C19" s="113">
        <v>91.3</v>
      </c>
    </row>
    <row r="20" spans="1:3" x14ac:dyDescent="0.25">
      <c r="A20" s="1">
        <v>2022</v>
      </c>
      <c r="B20" t="s">
        <v>311</v>
      </c>
      <c r="C20" s="113">
        <v>121.4</v>
      </c>
    </row>
    <row r="21" spans="1:3" x14ac:dyDescent="0.25">
      <c r="A21" s="6">
        <v>2022</v>
      </c>
      <c r="B21" s="8" t="s">
        <v>238</v>
      </c>
      <c r="C21" s="114">
        <v>104.5</v>
      </c>
    </row>
    <row r="23" spans="1:3" x14ac:dyDescent="0.25">
      <c r="A23" t="s">
        <v>73</v>
      </c>
    </row>
    <row r="25" spans="1:3" x14ac:dyDescent="0.25">
      <c r="A25" t="s">
        <v>305</v>
      </c>
    </row>
    <row r="27" spans="1:3" x14ac:dyDescent="0.25">
      <c r="A2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/>
  </sheetViews>
  <sheetFormatPr defaultColWidth="11.42578125" defaultRowHeight="15" x14ac:dyDescent="0.25"/>
  <cols>
    <col min="1" max="1" width="79.7109375" customWidth="1"/>
    <col min="2" max="2" width="34.7109375" customWidth="1"/>
    <col min="3" max="3" width="37.7109375" customWidth="1"/>
    <col min="4" max="4" width="43.7109375" customWidth="1"/>
    <col min="5" max="5" width="34.7109375" customWidth="1"/>
    <col min="6" max="6" width="37.7109375" customWidth="1"/>
    <col min="7" max="7" width="43.7109375" customWidth="1"/>
  </cols>
  <sheetData>
    <row r="1" spans="1:7" x14ac:dyDescent="0.25">
      <c r="A1" t="s">
        <v>312</v>
      </c>
    </row>
    <row r="3" spans="1:7" x14ac:dyDescent="0.25">
      <c r="A3" s="4" t="s">
        <v>313</v>
      </c>
      <c r="B3" s="3" t="s">
        <v>314</v>
      </c>
      <c r="C3" s="3" t="s">
        <v>315</v>
      </c>
      <c r="D3" s="3" t="s">
        <v>316</v>
      </c>
      <c r="E3" s="3" t="s">
        <v>317</v>
      </c>
      <c r="F3" s="3" t="s">
        <v>318</v>
      </c>
      <c r="G3" s="5" t="s">
        <v>319</v>
      </c>
    </row>
    <row r="4" spans="1:7" x14ac:dyDescent="0.25">
      <c r="A4" s="1" t="s">
        <v>320</v>
      </c>
      <c r="B4" s="115">
        <v>135.1</v>
      </c>
      <c r="C4" s="115">
        <v>48951</v>
      </c>
      <c r="D4" s="115">
        <v>49281.9</v>
      </c>
      <c r="E4" s="115">
        <v>160.80000000000001</v>
      </c>
      <c r="F4" s="115">
        <v>86972.9</v>
      </c>
      <c r="G4" s="82">
        <v>113188.5</v>
      </c>
    </row>
    <row r="5" spans="1:7" x14ac:dyDescent="0.25">
      <c r="A5" s="1" t="s">
        <v>321</v>
      </c>
      <c r="B5" s="115">
        <v>8</v>
      </c>
      <c r="C5" s="115">
        <v>2289</v>
      </c>
      <c r="D5" s="115">
        <v>1144.0999999999999</v>
      </c>
      <c r="E5" s="115">
        <v>10.5</v>
      </c>
      <c r="F5" s="115">
        <v>3460.4</v>
      </c>
      <c r="G5" s="82">
        <v>1704.9</v>
      </c>
    </row>
    <row r="6" spans="1:7" x14ac:dyDescent="0.25">
      <c r="A6" s="1" t="s">
        <v>322</v>
      </c>
      <c r="B6" s="115">
        <v>1.5</v>
      </c>
      <c r="C6" s="115">
        <v>155</v>
      </c>
      <c r="D6" s="115">
        <v>84</v>
      </c>
      <c r="E6" s="115">
        <v>2</v>
      </c>
      <c r="F6" s="115">
        <v>318.2</v>
      </c>
      <c r="G6" s="82">
        <v>192.5</v>
      </c>
    </row>
    <row r="7" spans="1:7" x14ac:dyDescent="0.25">
      <c r="A7" s="1" t="s">
        <v>323</v>
      </c>
      <c r="B7" s="115">
        <v>1.5</v>
      </c>
      <c r="C7" s="115">
        <v>340.3</v>
      </c>
      <c r="D7" s="115">
        <v>12.2</v>
      </c>
      <c r="E7" s="115">
        <v>2</v>
      </c>
      <c r="F7" s="115">
        <v>816.1</v>
      </c>
      <c r="G7" s="82">
        <v>11.9</v>
      </c>
    </row>
    <row r="8" spans="1:7" x14ac:dyDescent="0.25">
      <c r="A8" s="1" t="s">
        <v>324</v>
      </c>
      <c r="B8" s="115">
        <v>1.5</v>
      </c>
      <c r="C8" s="115">
        <v>239.1</v>
      </c>
      <c r="D8" s="115">
        <v>148.6</v>
      </c>
      <c r="E8" s="115">
        <v>2.8</v>
      </c>
      <c r="F8" s="115">
        <v>462.4</v>
      </c>
      <c r="G8" s="82">
        <v>460.3</v>
      </c>
    </row>
    <row r="9" spans="1:7" x14ac:dyDescent="0.25">
      <c r="A9" s="1" t="s">
        <v>325</v>
      </c>
      <c r="B9" s="115">
        <v>1</v>
      </c>
      <c r="C9" s="115">
        <v>970.2</v>
      </c>
      <c r="D9" s="115">
        <v>75.900000000000006</v>
      </c>
      <c r="E9" s="115">
        <v>4.9000000000000004</v>
      </c>
      <c r="F9" s="115">
        <v>7873.6</v>
      </c>
      <c r="G9" s="82">
        <v>513.4</v>
      </c>
    </row>
    <row r="10" spans="1:7" x14ac:dyDescent="0.25">
      <c r="A10" s="1" t="s">
        <v>326</v>
      </c>
      <c r="B10" s="115">
        <v>0.1</v>
      </c>
      <c r="C10" s="115">
        <v>27.9</v>
      </c>
      <c r="D10" s="115">
        <v>11.2</v>
      </c>
      <c r="E10" s="115">
        <v>39.700000000000003</v>
      </c>
      <c r="F10" s="115">
        <v>4525.8</v>
      </c>
      <c r="G10" s="82">
        <v>5302.2</v>
      </c>
    </row>
    <row r="11" spans="1:7" x14ac:dyDescent="0.25">
      <c r="A11" s="1" t="s">
        <v>327</v>
      </c>
      <c r="B11" s="115">
        <v>0.1</v>
      </c>
      <c r="C11" s="115">
        <v>106.8</v>
      </c>
      <c r="D11" s="115">
        <v>0</v>
      </c>
      <c r="E11" s="115">
        <v>0</v>
      </c>
      <c r="F11" s="115">
        <v>76.2</v>
      </c>
      <c r="G11" s="82">
        <v>0</v>
      </c>
    </row>
    <row r="12" spans="1:7" x14ac:dyDescent="0.25">
      <c r="A12" s="124" t="s">
        <v>147</v>
      </c>
      <c r="B12" s="149">
        <v>138.19999999999999</v>
      </c>
      <c r="C12" s="149">
        <v>53079.199999999997</v>
      </c>
      <c r="D12" s="149">
        <v>50757.9</v>
      </c>
      <c r="E12" s="149">
        <v>169.5</v>
      </c>
      <c r="F12" s="149">
        <v>104505.5</v>
      </c>
      <c r="G12" s="150">
        <v>121373.7</v>
      </c>
    </row>
    <row r="14" spans="1:7" x14ac:dyDescent="0.25">
      <c r="A14" t="s">
        <v>73</v>
      </c>
    </row>
    <row r="16" spans="1:7" x14ac:dyDescent="0.25">
      <c r="A16" t="s">
        <v>328</v>
      </c>
    </row>
    <row r="17" spans="1:1" x14ac:dyDescent="0.25">
      <c r="A17" t="s">
        <v>329</v>
      </c>
    </row>
    <row r="19" spans="1:1" x14ac:dyDescent="0.25">
      <c r="A1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/>
  </sheetViews>
  <sheetFormatPr defaultColWidth="11.42578125" defaultRowHeight="15" x14ac:dyDescent="0.25"/>
  <cols>
    <col min="1" max="1" width="6.7109375" customWidth="1"/>
    <col min="2" max="2" width="79.7109375" customWidth="1"/>
    <col min="3" max="3" width="49.7109375" customWidth="1"/>
    <col min="4" max="4" width="9.7109375" customWidth="1"/>
  </cols>
  <sheetData>
    <row r="1" spans="1:4" x14ac:dyDescent="0.25">
      <c r="A1" t="s">
        <v>330</v>
      </c>
    </row>
    <row r="3" spans="1:4" x14ac:dyDescent="0.25">
      <c r="A3" s="4" t="s">
        <v>2</v>
      </c>
      <c r="B3" s="3" t="s">
        <v>313</v>
      </c>
      <c r="C3" s="3" t="s">
        <v>309</v>
      </c>
      <c r="D3" s="5" t="s">
        <v>331</v>
      </c>
    </row>
    <row r="4" spans="1:4" x14ac:dyDescent="0.25">
      <c r="A4" s="1" t="s">
        <v>5</v>
      </c>
      <c r="B4" t="s">
        <v>322</v>
      </c>
      <c r="C4" t="s">
        <v>332</v>
      </c>
      <c r="D4" s="82">
        <v>104.7</v>
      </c>
    </row>
    <row r="5" spans="1:4" x14ac:dyDescent="0.25">
      <c r="A5" s="1" t="s">
        <v>5</v>
      </c>
      <c r="B5" t="s">
        <v>321</v>
      </c>
      <c r="C5" t="s">
        <v>332</v>
      </c>
      <c r="D5" s="82">
        <v>287.7</v>
      </c>
    </row>
    <row r="6" spans="1:4" x14ac:dyDescent="0.25">
      <c r="A6" s="1" t="s">
        <v>5</v>
      </c>
      <c r="B6" t="s">
        <v>320</v>
      </c>
      <c r="C6" t="s">
        <v>332</v>
      </c>
      <c r="D6" s="82">
        <v>362.2</v>
      </c>
    </row>
    <row r="7" spans="1:4" x14ac:dyDescent="0.25">
      <c r="A7" s="1" t="s">
        <v>5</v>
      </c>
      <c r="B7" t="s">
        <v>323</v>
      </c>
      <c r="C7" t="s">
        <v>332</v>
      </c>
      <c r="D7" s="82">
        <v>226.5</v>
      </c>
    </row>
    <row r="8" spans="1:4" x14ac:dyDescent="0.25">
      <c r="A8" s="1" t="s">
        <v>5</v>
      </c>
      <c r="B8" t="s">
        <v>324</v>
      </c>
      <c r="C8" t="s">
        <v>332</v>
      </c>
      <c r="D8" s="82">
        <v>160.6</v>
      </c>
    </row>
    <row r="9" spans="1:4" x14ac:dyDescent="0.25">
      <c r="A9" s="1" t="s">
        <v>5</v>
      </c>
      <c r="B9" t="s">
        <v>325</v>
      </c>
      <c r="C9" t="s">
        <v>332</v>
      </c>
      <c r="D9" s="82">
        <v>974.1</v>
      </c>
    </row>
    <row r="10" spans="1:4" x14ac:dyDescent="0.25">
      <c r="A10" s="1" t="s">
        <v>120</v>
      </c>
      <c r="B10" t="s">
        <v>322</v>
      </c>
      <c r="C10" t="s">
        <v>332</v>
      </c>
      <c r="D10" s="82">
        <v>156.6</v>
      </c>
    </row>
    <row r="11" spans="1:4" x14ac:dyDescent="0.25">
      <c r="A11" s="1" t="s">
        <v>120</v>
      </c>
      <c r="B11" t="s">
        <v>321</v>
      </c>
      <c r="C11" t="s">
        <v>332</v>
      </c>
      <c r="D11" s="82">
        <v>331.1</v>
      </c>
    </row>
    <row r="12" spans="1:4" x14ac:dyDescent="0.25">
      <c r="A12" s="1" t="s">
        <v>120</v>
      </c>
      <c r="B12" t="s">
        <v>320</v>
      </c>
      <c r="C12" t="s">
        <v>332</v>
      </c>
      <c r="D12" s="82">
        <v>540.70000000000005</v>
      </c>
    </row>
    <row r="13" spans="1:4" x14ac:dyDescent="0.25">
      <c r="A13" s="1" t="s">
        <v>120</v>
      </c>
      <c r="B13" t="s">
        <v>323</v>
      </c>
      <c r="C13" t="s">
        <v>332</v>
      </c>
      <c r="D13" s="82">
        <v>400.8</v>
      </c>
    </row>
    <row r="14" spans="1:4" x14ac:dyDescent="0.25">
      <c r="A14" s="1" t="s">
        <v>120</v>
      </c>
      <c r="B14" t="s">
        <v>324</v>
      </c>
      <c r="C14" t="s">
        <v>332</v>
      </c>
      <c r="D14" s="82">
        <v>163.1</v>
      </c>
    </row>
    <row r="15" spans="1:4" x14ac:dyDescent="0.25">
      <c r="A15" s="1" t="s">
        <v>120</v>
      </c>
      <c r="B15" t="s">
        <v>325</v>
      </c>
      <c r="C15" t="s">
        <v>332</v>
      </c>
      <c r="D15" s="82">
        <v>1591.9</v>
      </c>
    </row>
    <row r="16" spans="1:4" x14ac:dyDescent="0.25">
      <c r="A16" s="1" t="s">
        <v>5</v>
      </c>
      <c r="B16" t="s">
        <v>322</v>
      </c>
      <c r="C16" t="s">
        <v>333</v>
      </c>
      <c r="D16" s="82">
        <v>56.8</v>
      </c>
    </row>
    <row r="17" spans="1:4" x14ac:dyDescent="0.25">
      <c r="A17" s="1" t="s">
        <v>5</v>
      </c>
      <c r="B17" t="s">
        <v>321</v>
      </c>
      <c r="C17" t="s">
        <v>333</v>
      </c>
      <c r="D17" s="82">
        <v>143.80000000000001</v>
      </c>
    </row>
    <row r="18" spans="1:4" x14ac:dyDescent="0.25">
      <c r="A18" s="1" t="s">
        <v>5</v>
      </c>
      <c r="B18" t="s">
        <v>320</v>
      </c>
      <c r="C18" t="s">
        <v>333</v>
      </c>
      <c r="D18" s="82">
        <v>364.7</v>
      </c>
    </row>
    <row r="19" spans="1:4" x14ac:dyDescent="0.25">
      <c r="A19" s="1" t="s">
        <v>5</v>
      </c>
      <c r="B19" t="s">
        <v>323</v>
      </c>
      <c r="C19" t="s">
        <v>333</v>
      </c>
      <c r="D19" s="82">
        <v>8.1</v>
      </c>
    </row>
    <row r="20" spans="1:4" x14ac:dyDescent="0.25">
      <c r="A20" s="1" t="s">
        <v>5</v>
      </c>
      <c r="B20" t="s">
        <v>324</v>
      </c>
      <c r="C20" t="s">
        <v>333</v>
      </c>
      <c r="D20" s="82">
        <v>99.8</v>
      </c>
    </row>
    <row r="21" spans="1:4" x14ac:dyDescent="0.25">
      <c r="A21" s="1" t="s">
        <v>5</v>
      </c>
      <c r="B21" t="s">
        <v>325</v>
      </c>
      <c r="C21" t="s">
        <v>333</v>
      </c>
      <c r="D21" s="82">
        <v>76.2</v>
      </c>
    </row>
    <row r="22" spans="1:4" x14ac:dyDescent="0.25">
      <c r="A22" s="1" t="s">
        <v>120</v>
      </c>
      <c r="B22" t="s">
        <v>322</v>
      </c>
      <c r="C22" t="s">
        <v>333</v>
      </c>
      <c r="D22" s="82">
        <v>94.7</v>
      </c>
    </row>
    <row r="23" spans="1:4" x14ac:dyDescent="0.25">
      <c r="A23" s="1" t="s">
        <v>120</v>
      </c>
      <c r="B23" t="s">
        <v>321</v>
      </c>
      <c r="C23" t="s">
        <v>333</v>
      </c>
      <c r="D23" s="82">
        <v>163.1</v>
      </c>
    </row>
    <row r="24" spans="1:4" x14ac:dyDescent="0.25">
      <c r="A24" s="1" t="s">
        <v>120</v>
      </c>
      <c r="B24" t="s">
        <v>320</v>
      </c>
      <c r="C24" t="s">
        <v>333</v>
      </c>
      <c r="D24" s="82">
        <v>703.7</v>
      </c>
    </row>
    <row r="25" spans="1:4" x14ac:dyDescent="0.25">
      <c r="A25" s="1" t="s">
        <v>120</v>
      </c>
      <c r="B25" t="s">
        <v>323</v>
      </c>
      <c r="C25" t="s">
        <v>333</v>
      </c>
      <c r="D25" s="82">
        <v>5.8</v>
      </c>
    </row>
    <row r="26" spans="1:4" x14ac:dyDescent="0.25">
      <c r="A26" s="1" t="s">
        <v>120</v>
      </c>
      <c r="B26" t="s">
        <v>324</v>
      </c>
      <c r="C26" t="s">
        <v>333</v>
      </c>
      <c r="D26" s="82">
        <v>162.4</v>
      </c>
    </row>
    <row r="27" spans="1:4" x14ac:dyDescent="0.25">
      <c r="A27" s="6" t="s">
        <v>120</v>
      </c>
      <c r="B27" s="8" t="s">
        <v>325</v>
      </c>
      <c r="C27" s="8" t="s">
        <v>333</v>
      </c>
      <c r="D27" s="83">
        <v>103.8</v>
      </c>
    </row>
    <row r="29" spans="1:4" x14ac:dyDescent="0.25">
      <c r="A29" t="s">
        <v>73</v>
      </c>
    </row>
    <row r="31" spans="1:4" x14ac:dyDescent="0.25">
      <c r="A31" t="s">
        <v>328</v>
      </c>
    </row>
    <row r="33" spans="1:1" x14ac:dyDescent="0.25">
      <c r="A3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/>
  </sheetViews>
  <sheetFormatPr defaultColWidth="11.42578125" defaultRowHeight="15" x14ac:dyDescent="0.25"/>
  <cols>
    <col min="1" max="1" width="17.7109375" customWidth="1"/>
    <col min="2" max="2" width="13.7109375" customWidth="1"/>
    <col min="3" max="4" width="17.7109375" customWidth="1"/>
  </cols>
  <sheetData>
    <row r="1" spans="1:4" x14ac:dyDescent="0.25">
      <c r="A1" t="s">
        <v>50</v>
      </c>
    </row>
    <row r="3" spans="1:4" x14ac:dyDescent="0.25">
      <c r="A3" s="4" t="s">
        <v>1</v>
      </c>
      <c r="B3" s="3" t="s">
        <v>51</v>
      </c>
      <c r="C3" s="3" t="s">
        <v>52</v>
      </c>
      <c r="D3" s="5" t="s">
        <v>53</v>
      </c>
    </row>
    <row r="4" spans="1:4" x14ac:dyDescent="0.25">
      <c r="A4" s="1" t="s">
        <v>4</v>
      </c>
      <c r="B4" s="120">
        <v>4.1000000000000003E-3</v>
      </c>
      <c r="C4" s="120">
        <v>9.1999999999999998E-3</v>
      </c>
      <c r="D4" s="121">
        <v>1.8E-3</v>
      </c>
    </row>
    <row r="5" spans="1:4" x14ac:dyDescent="0.25">
      <c r="A5" s="1" t="s">
        <v>6</v>
      </c>
      <c r="B5" s="120">
        <v>4.7999999999999996E-3</v>
      </c>
      <c r="C5" s="120">
        <v>1.03E-2</v>
      </c>
      <c r="D5" s="121">
        <v>2.2000000000000001E-3</v>
      </c>
    </row>
    <row r="6" spans="1:4" x14ac:dyDescent="0.25">
      <c r="A6" s="1" t="s">
        <v>7</v>
      </c>
      <c r="B6" s="120">
        <v>5.1000000000000004E-3</v>
      </c>
      <c r="C6" s="120">
        <v>1.09E-2</v>
      </c>
      <c r="D6" s="121">
        <v>2.3E-3</v>
      </c>
    </row>
    <row r="7" spans="1:4" x14ac:dyDescent="0.25">
      <c r="A7" s="1" t="s">
        <v>9</v>
      </c>
      <c r="B7" s="120">
        <v>5.7000000000000002E-3</v>
      </c>
      <c r="C7" s="120">
        <v>1.2200000000000001E-2</v>
      </c>
      <c r="D7" s="121">
        <v>2.5999999999999999E-3</v>
      </c>
    </row>
    <row r="8" spans="1:4" x14ac:dyDescent="0.25">
      <c r="A8" s="1" t="s">
        <v>8</v>
      </c>
      <c r="B8" s="120">
        <v>5.7000000000000002E-3</v>
      </c>
      <c r="C8" s="120">
        <v>1.18E-2</v>
      </c>
      <c r="D8" s="121">
        <v>2.5999999999999999E-3</v>
      </c>
    </row>
    <row r="9" spans="1:4" x14ac:dyDescent="0.25">
      <c r="A9" s="1" t="s">
        <v>11</v>
      </c>
      <c r="B9" s="120">
        <v>6.4000000000000003E-3</v>
      </c>
      <c r="C9" s="120">
        <v>1.38E-2</v>
      </c>
      <c r="D9" s="121">
        <v>2.8999999999999998E-3</v>
      </c>
    </row>
    <row r="10" spans="1:4" x14ac:dyDescent="0.25">
      <c r="A10" s="1" t="s">
        <v>13</v>
      </c>
      <c r="B10" s="120">
        <v>6.4999999999999997E-3</v>
      </c>
      <c r="C10" s="120">
        <v>1.3899999999999999E-2</v>
      </c>
      <c r="D10" s="121">
        <v>2.8999999999999998E-3</v>
      </c>
    </row>
    <row r="11" spans="1:4" x14ac:dyDescent="0.25">
      <c r="A11" s="1" t="s">
        <v>10</v>
      </c>
      <c r="B11" s="120">
        <v>6.4999999999999997E-3</v>
      </c>
      <c r="C11" s="120">
        <v>1.43E-2</v>
      </c>
      <c r="D11" s="121">
        <v>2.8999999999999998E-3</v>
      </c>
    </row>
    <row r="12" spans="1:4" x14ac:dyDescent="0.25">
      <c r="A12" s="1" t="s">
        <v>12</v>
      </c>
      <c r="B12" s="120">
        <v>7.1000000000000004E-3</v>
      </c>
      <c r="C12" s="120">
        <v>1.49E-2</v>
      </c>
      <c r="D12" s="121">
        <v>3.3E-3</v>
      </c>
    </row>
    <row r="13" spans="1:4" x14ac:dyDescent="0.25">
      <c r="A13" s="1" t="s">
        <v>14</v>
      </c>
      <c r="B13" s="120">
        <v>7.1999999999999998E-3</v>
      </c>
      <c r="C13" s="120">
        <v>1.5900000000000001E-2</v>
      </c>
      <c r="D13" s="121">
        <v>3.3E-3</v>
      </c>
    </row>
    <row r="14" spans="1:4" x14ac:dyDescent="0.25">
      <c r="A14" s="1" t="s">
        <v>16</v>
      </c>
      <c r="B14" s="120">
        <v>7.1999999999999998E-3</v>
      </c>
      <c r="C14" s="120">
        <v>1.5699999999999999E-2</v>
      </c>
      <c r="D14" s="121">
        <v>3.2000000000000002E-3</v>
      </c>
    </row>
    <row r="15" spans="1:4" x14ac:dyDescent="0.25">
      <c r="A15" s="1" t="s">
        <v>15</v>
      </c>
      <c r="B15" s="120">
        <v>7.1999999999999998E-3</v>
      </c>
      <c r="C15" s="120">
        <v>1.5599999999999999E-2</v>
      </c>
      <c r="D15" s="121">
        <v>3.3E-3</v>
      </c>
    </row>
    <row r="16" spans="1:4" x14ac:dyDescent="0.25">
      <c r="A16" s="1" t="s">
        <v>17</v>
      </c>
      <c r="B16" s="120">
        <v>7.3000000000000001E-3</v>
      </c>
      <c r="C16" s="120">
        <v>1.54E-2</v>
      </c>
      <c r="D16" s="121">
        <v>3.3E-3</v>
      </c>
    </row>
    <row r="17" spans="1:4" x14ac:dyDescent="0.25">
      <c r="A17" s="1" t="s">
        <v>19</v>
      </c>
      <c r="B17" s="120">
        <v>7.3000000000000001E-3</v>
      </c>
      <c r="C17" s="120">
        <v>1.55E-2</v>
      </c>
      <c r="D17" s="121">
        <v>3.3E-3</v>
      </c>
    </row>
    <row r="18" spans="1:4" x14ac:dyDescent="0.25">
      <c r="A18" s="1" t="s">
        <v>24</v>
      </c>
      <c r="B18" s="120">
        <v>7.4999999999999997E-3</v>
      </c>
      <c r="C18" s="120">
        <v>1.6199999999999999E-2</v>
      </c>
      <c r="D18" s="121">
        <v>3.3999999999999998E-3</v>
      </c>
    </row>
    <row r="19" spans="1:4" x14ac:dyDescent="0.25">
      <c r="A19" s="1" t="s">
        <v>26</v>
      </c>
      <c r="B19" s="120">
        <v>7.6E-3</v>
      </c>
      <c r="C19" s="120">
        <v>1.6E-2</v>
      </c>
      <c r="D19" s="121">
        <v>3.5000000000000001E-3</v>
      </c>
    </row>
    <row r="20" spans="1:4" x14ac:dyDescent="0.25">
      <c r="A20" s="1" t="s">
        <v>20</v>
      </c>
      <c r="B20" s="120">
        <v>7.6E-3</v>
      </c>
      <c r="C20" s="120">
        <v>1.6299999999999999E-2</v>
      </c>
      <c r="D20" s="121">
        <v>3.5000000000000001E-3</v>
      </c>
    </row>
    <row r="21" spans="1:4" x14ac:dyDescent="0.25">
      <c r="A21" s="1" t="s">
        <v>21</v>
      </c>
      <c r="B21" s="120">
        <v>7.7000000000000002E-3</v>
      </c>
      <c r="C21" s="120">
        <v>1.66E-2</v>
      </c>
      <c r="D21" s="121">
        <v>3.5000000000000001E-3</v>
      </c>
    </row>
    <row r="22" spans="1:4" x14ac:dyDescent="0.25">
      <c r="A22" s="1" t="s">
        <v>22</v>
      </c>
      <c r="B22" s="120">
        <v>8.0000000000000002E-3</v>
      </c>
      <c r="C22" s="120">
        <v>1.7000000000000001E-2</v>
      </c>
      <c r="D22" s="121">
        <v>3.7000000000000002E-3</v>
      </c>
    </row>
    <row r="23" spans="1:4" x14ac:dyDescent="0.25">
      <c r="A23" s="1" t="s">
        <v>27</v>
      </c>
      <c r="B23" s="120">
        <v>8.0000000000000002E-3</v>
      </c>
      <c r="C23" s="120">
        <v>1.72E-2</v>
      </c>
      <c r="D23" s="121">
        <v>3.7000000000000002E-3</v>
      </c>
    </row>
    <row r="24" spans="1:4" x14ac:dyDescent="0.25">
      <c r="A24" s="1" t="s">
        <v>25</v>
      </c>
      <c r="B24" s="120">
        <v>8.0999999999999996E-3</v>
      </c>
      <c r="C24" s="120">
        <v>1.7299999999999999E-2</v>
      </c>
      <c r="D24" s="121">
        <v>3.7000000000000002E-3</v>
      </c>
    </row>
    <row r="25" spans="1:4" x14ac:dyDescent="0.25">
      <c r="A25" s="1" t="s">
        <v>30</v>
      </c>
      <c r="B25" s="120">
        <v>8.0999999999999996E-3</v>
      </c>
      <c r="C25" s="120">
        <v>1.7500000000000002E-2</v>
      </c>
      <c r="D25" s="121">
        <v>3.8E-3</v>
      </c>
    </row>
    <row r="26" spans="1:4" x14ac:dyDescent="0.25">
      <c r="A26" s="1" t="s">
        <v>29</v>
      </c>
      <c r="B26" s="120">
        <v>8.3000000000000001E-3</v>
      </c>
      <c r="C26" s="120">
        <v>1.7899999999999999E-2</v>
      </c>
      <c r="D26" s="121">
        <v>3.8E-3</v>
      </c>
    </row>
    <row r="27" spans="1:4" x14ac:dyDescent="0.25">
      <c r="A27" s="1" t="s">
        <v>23</v>
      </c>
      <c r="B27" s="120">
        <v>8.3000000000000001E-3</v>
      </c>
      <c r="C27" s="120">
        <v>1.7500000000000002E-2</v>
      </c>
      <c r="D27" s="121">
        <v>3.8E-3</v>
      </c>
    </row>
    <row r="28" spans="1:4" x14ac:dyDescent="0.25">
      <c r="A28" s="1" t="s">
        <v>34</v>
      </c>
      <c r="B28" s="120">
        <v>8.3999999999999995E-3</v>
      </c>
      <c r="C28" s="120">
        <v>1.78E-2</v>
      </c>
      <c r="D28" s="121">
        <v>3.8999999999999998E-3</v>
      </c>
    </row>
    <row r="29" spans="1:4" x14ac:dyDescent="0.25">
      <c r="A29" s="1" t="s">
        <v>31</v>
      </c>
      <c r="B29" s="120">
        <v>8.5000000000000006E-3</v>
      </c>
      <c r="C29" s="120">
        <v>1.8599999999999998E-2</v>
      </c>
      <c r="D29" s="121">
        <v>4.0000000000000001E-3</v>
      </c>
    </row>
    <row r="30" spans="1:4" x14ac:dyDescent="0.25">
      <c r="A30" s="1" t="s">
        <v>28</v>
      </c>
      <c r="B30" s="120">
        <v>8.6E-3</v>
      </c>
      <c r="C30" s="120">
        <v>1.84E-2</v>
      </c>
      <c r="D30" s="121">
        <v>3.8999999999999998E-3</v>
      </c>
    </row>
    <row r="31" spans="1:4" x14ac:dyDescent="0.25">
      <c r="A31" s="1" t="s">
        <v>18</v>
      </c>
      <c r="B31" s="120">
        <v>8.8000000000000005E-3</v>
      </c>
      <c r="C31" s="120">
        <v>1.83E-2</v>
      </c>
      <c r="D31" s="121">
        <v>4.0000000000000001E-3</v>
      </c>
    </row>
    <row r="32" spans="1:4" x14ac:dyDescent="0.25">
      <c r="A32" s="1" t="s">
        <v>33</v>
      </c>
      <c r="B32" s="120">
        <v>9.1999999999999998E-3</v>
      </c>
      <c r="C32" s="120">
        <v>1.9699999999999999E-2</v>
      </c>
      <c r="D32" s="121">
        <v>4.1999999999999997E-3</v>
      </c>
    </row>
    <row r="33" spans="1:4" x14ac:dyDescent="0.25">
      <c r="A33" s="1" t="s">
        <v>32</v>
      </c>
      <c r="B33" s="120">
        <v>9.1999999999999998E-3</v>
      </c>
      <c r="C33" s="120">
        <v>0.02</v>
      </c>
      <c r="D33" s="121">
        <v>4.1999999999999997E-3</v>
      </c>
    </row>
    <row r="34" spans="1:4" x14ac:dyDescent="0.25">
      <c r="A34" s="6" t="s">
        <v>35</v>
      </c>
      <c r="B34" s="122">
        <v>1.11E-2</v>
      </c>
      <c r="C34" s="122">
        <v>2.3599999999999999E-2</v>
      </c>
      <c r="D34" s="123">
        <v>5.1000000000000004E-3</v>
      </c>
    </row>
    <row r="36" spans="1:4" x14ac:dyDescent="0.25">
      <c r="A36" t="s">
        <v>37</v>
      </c>
    </row>
    <row r="38" spans="1:4" x14ac:dyDescent="0.25">
      <c r="A38" t="s">
        <v>38</v>
      </c>
    </row>
    <row r="40" spans="1:4" x14ac:dyDescent="0.25">
      <c r="A40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/>
  </sheetViews>
  <sheetFormatPr defaultColWidth="11.42578125" defaultRowHeight="15" x14ac:dyDescent="0.25"/>
  <cols>
    <col min="1" max="1" width="6.7109375" customWidth="1"/>
    <col min="2" max="2" width="32.7109375" customWidth="1"/>
    <col min="3" max="3" width="34.7109375" customWidth="1"/>
    <col min="4" max="4" width="35.7109375" customWidth="1"/>
    <col min="5" max="6" width="59.7109375" customWidth="1"/>
    <col min="7" max="7" width="61.7109375" customWidth="1"/>
    <col min="8" max="8" width="98.7109375" customWidth="1"/>
    <col min="9" max="9" width="99.7109375" customWidth="1"/>
    <col min="10" max="10" width="101.7109375" customWidth="1"/>
  </cols>
  <sheetData>
    <row r="1" spans="1:10" x14ac:dyDescent="0.25">
      <c r="A1" t="s">
        <v>54</v>
      </c>
    </row>
    <row r="3" spans="1:10" x14ac:dyDescent="0.25">
      <c r="A3" s="4" t="s">
        <v>2</v>
      </c>
      <c r="B3" s="3" t="s">
        <v>55</v>
      </c>
      <c r="C3" s="3" t="s">
        <v>56</v>
      </c>
      <c r="D3" s="3" t="s">
        <v>57</v>
      </c>
      <c r="E3" s="3" t="s">
        <v>58</v>
      </c>
      <c r="F3" s="3" t="s">
        <v>59</v>
      </c>
      <c r="G3" s="3" t="s">
        <v>60</v>
      </c>
      <c r="H3" s="3" t="s">
        <v>61</v>
      </c>
      <c r="I3" s="3" t="s">
        <v>62</v>
      </c>
      <c r="J3" s="5" t="s">
        <v>63</v>
      </c>
    </row>
    <row r="4" spans="1:10" x14ac:dyDescent="0.25">
      <c r="A4" s="1">
        <v>2014</v>
      </c>
      <c r="B4" s="34">
        <v>338.8</v>
      </c>
      <c r="C4" s="34">
        <v>240.5</v>
      </c>
      <c r="D4" s="34">
        <v>98.3</v>
      </c>
      <c r="E4">
        <v>29.6</v>
      </c>
      <c r="F4">
        <v>36.799999999999997</v>
      </c>
      <c r="G4">
        <v>20</v>
      </c>
      <c r="H4">
        <v>29</v>
      </c>
      <c r="I4">
        <v>36.1</v>
      </c>
      <c r="J4" s="32">
        <v>19.5</v>
      </c>
    </row>
    <row r="5" spans="1:10" x14ac:dyDescent="0.25">
      <c r="A5" s="1">
        <v>2015</v>
      </c>
      <c r="B5" s="34">
        <v>346.7</v>
      </c>
      <c r="C5" s="34">
        <v>246.6</v>
      </c>
      <c r="D5" s="34">
        <v>100.1</v>
      </c>
      <c r="E5">
        <v>29.8</v>
      </c>
      <c r="F5">
        <v>37.200000000000003</v>
      </c>
      <c r="G5">
        <v>20</v>
      </c>
      <c r="H5">
        <v>29</v>
      </c>
      <c r="I5">
        <v>36.200000000000003</v>
      </c>
      <c r="J5" s="32">
        <v>19.3</v>
      </c>
    </row>
    <row r="6" spans="1:10" x14ac:dyDescent="0.25">
      <c r="A6" s="1">
        <v>2016</v>
      </c>
      <c r="B6" s="34">
        <v>357.1</v>
      </c>
      <c r="C6" s="34">
        <v>254.4</v>
      </c>
      <c r="D6" s="34">
        <v>102.8</v>
      </c>
      <c r="E6">
        <v>30.3</v>
      </c>
      <c r="F6">
        <v>37.9</v>
      </c>
      <c r="G6">
        <v>20.2</v>
      </c>
      <c r="H6">
        <v>29.1</v>
      </c>
      <c r="I6">
        <v>36.5</v>
      </c>
      <c r="J6" s="32">
        <v>19.399999999999999</v>
      </c>
    </row>
    <row r="7" spans="1:10" x14ac:dyDescent="0.25">
      <c r="A7" s="1">
        <v>2017</v>
      </c>
      <c r="B7" s="34">
        <v>364.1</v>
      </c>
      <c r="C7" s="34">
        <v>259.8</v>
      </c>
      <c r="D7" s="34">
        <v>104.3</v>
      </c>
      <c r="E7">
        <v>30.6</v>
      </c>
      <c r="F7">
        <v>38.299999999999997</v>
      </c>
      <c r="G7">
        <v>20.3</v>
      </c>
      <c r="H7">
        <v>29.3</v>
      </c>
      <c r="I7">
        <v>36.700000000000003</v>
      </c>
      <c r="J7" s="32">
        <v>19.3</v>
      </c>
    </row>
    <row r="8" spans="1:10" x14ac:dyDescent="0.25">
      <c r="A8" s="1">
        <v>2018</v>
      </c>
      <c r="B8" s="34">
        <v>369</v>
      </c>
      <c r="C8" s="34">
        <v>263.5</v>
      </c>
      <c r="D8" s="34">
        <v>105.5</v>
      </c>
      <c r="E8">
        <v>30.7</v>
      </c>
      <c r="F8">
        <v>38.6</v>
      </c>
      <c r="G8">
        <v>20.3</v>
      </c>
      <c r="H8">
        <v>29.3</v>
      </c>
      <c r="I8">
        <v>36.9</v>
      </c>
      <c r="J8" s="32">
        <v>19.2</v>
      </c>
    </row>
    <row r="9" spans="1:10" x14ac:dyDescent="0.25">
      <c r="A9" s="1">
        <v>2019</v>
      </c>
      <c r="B9" s="34">
        <v>378.8</v>
      </c>
      <c r="C9" s="34">
        <v>270.7</v>
      </c>
      <c r="D9" s="34">
        <v>108.1</v>
      </c>
      <c r="E9">
        <v>31.3</v>
      </c>
      <c r="F9">
        <v>39.4</v>
      </c>
      <c r="G9">
        <v>20.7</v>
      </c>
      <c r="H9">
        <v>29.7</v>
      </c>
      <c r="I9">
        <v>37.4</v>
      </c>
      <c r="J9" s="32">
        <v>19.3</v>
      </c>
    </row>
    <row r="10" spans="1:10" x14ac:dyDescent="0.25">
      <c r="A10" s="1">
        <v>2020</v>
      </c>
      <c r="B10" s="34">
        <v>365.2</v>
      </c>
      <c r="C10" s="34">
        <v>262.89999999999998</v>
      </c>
      <c r="D10" s="34">
        <v>102.2</v>
      </c>
      <c r="E10">
        <v>30.1</v>
      </c>
      <c r="F10">
        <v>38.200000000000003</v>
      </c>
      <c r="G10">
        <v>19.5</v>
      </c>
      <c r="H10">
        <v>28.5</v>
      </c>
      <c r="I10">
        <v>36.299999999999997</v>
      </c>
      <c r="J10" s="32">
        <v>18.2</v>
      </c>
    </row>
    <row r="11" spans="1:10" x14ac:dyDescent="0.25">
      <c r="A11" s="1">
        <v>2021</v>
      </c>
      <c r="B11" s="34">
        <v>357.2</v>
      </c>
      <c r="C11" s="34">
        <v>257.7</v>
      </c>
      <c r="D11" s="34">
        <v>99.5</v>
      </c>
      <c r="E11">
        <v>29.5</v>
      </c>
      <c r="F11">
        <v>37.5</v>
      </c>
      <c r="G11">
        <v>19</v>
      </c>
      <c r="H11">
        <v>27.7</v>
      </c>
      <c r="I11">
        <v>35.299999999999997</v>
      </c>
      <c r="J11" s="32">
        <v>17.600000000000001</v>
      </c>
    </row>
    <row r="12" spans="1:10" x14ac:dyDescent="0.25">
      <c r="A12" s="6">
        <v>2022</v>
      </c>
      <c r="B12" s="35">
        <v>356.9</v>
      </c>
      <c r="C12" s="35">
        <v>256.3</v>
      </c>
      <c r="D12" s="35">
        <v>100.5</v>
      </c>
      <c r="E12" s="8">
        <v>29.8</v>
      </c>
      <c r="F12" s="8">
        <v>37.6</v>
      </c>
      <c r="G12" s="8">
        <v>19.5</v>
      </c>
      <c r="H12" s="8">
        <v>27.8</v>
      </c>
      <c r="I12" s="8">
        <v>35.4</v>
      </c>
      <c r="J12" s="33">
        <v>17.8</v>
      </c>
    </row>
    <row r="14" spans="1:10" x14ac:dyDescent="0.25">
      <c r="A14" t="s">
        <v>64</v>
      </c>
    </row>
    <row r="16" spans="1:10" x14ac:dyDescent="0.25">
      <c r="A16" t="s">
        <v>65</v>
      </c>
    </row>
    <row r="18" spans="1:1" x14ac:dyDescent="0.25">
      <c r="A18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72</vt:i4>
      </vt:variant>
    </vt:vector>
  </HeadingPairs>
  <TitlesOfParts>
    <vt:vector size="72" baseType="lpstr">
      <vt:lpstr>Spis treści</vt:lpstr>
      <vt:lpstr>Wykres 1.1</vt:lpstr>
      <vt:lpstr>Wykres 1.2</vt:lpstr>
      <vt:lpstr>Wykres 1.3</vt:lpstr>
      <vt:lpstr>Wykres 1.4</vt:lpstr>
      <vt:lpstr>Wykres 1.5a</vt:lpstr>
      <vt:lpstr>Wykres 1.5b</vt:lpstr>
      <vt:lpstr>Wykres 1.6</vt:lpstr>
      <vt:lpstr>Tabela 2.1</vt:lpstr>
      <vt:lpstr>Wykres 2.1</vt:lpstr>
      <vt:lpstr>Wykres 2.2</vt:lpstr>
      <vt:lpstr>Wykres 2.3a</vt:lpstr>
      <vt:lpstr>Wykres 2.3b</vt:lpstr>
      <vt:lpstr>Tabela 2.2</vt:lpstr>
      <vt:lpstr>Wykres 2.4</vt:lpstr>
      <vt:lpstr>Tabela 2.3</vt:lpstr>
      <vt:lpstr>Tabela 2.4</vt:lpstr>
      <vt:lpstr>Tabela 2.5</vt:lpstr>
      <vt:lpstr>Wykres 2.5</vt:lpstr>
      <vt:lpstr>Tabela 2.6</vt:lpstr>
      <vt:lpstr>Wykres 2.6</vt:lpstr>
      <vt:lpstr>Tabela 2.7</vt:lpstr>
      <vt:lpstr>Tabela 2.8</vt:lpstr>
      <vt:lpstr>Tabela 2.9</vt:lpstr>
      <vt:lpstr>Tabela 2.10</vt:lpstr>
      <vt:lpstr>Tabela 2.11</vt:lpstr>
      <vt:lpstr>Wykres 2.7</vt:lpstr>
      <vt:lpstr>Tabela 2.12</vt:lpstr>
      <vt:lpstr>Wykres 2.8</vt:lpstr>
      <vt:lpstr>Tabela 2.13</vt:lpstr>
      <vt:lpstr>Tabela 2.14</vt:lpstr>
      <vt:lpstr>Wykres 2.9</vt:lpstr>
      <vt:lpstr>Wykres 2.10</vt:lpstr>
      <vt:lpstr>Wykres 2.11</vt:lpstr>
      <vt:lpstr>Wykres 2.12</vt:lpstr>
      <vt:lpstr>Wykres 2.13</vt:lpstr>
      <vt:lpstr>Wykres 2.14</vt:lpstr>
      <vt:lpstr>Wykres 2.15a</vt:lpstr>
      <vt:lpstr>Wykres 2.15b</vt:lpstr>
      <vt:lpstr>Wykres 2.16</vt:lpstr>
      <vt:lpstr>Wykres 2.17</vt:lpstr>
      <vt:lpstr>Wykres 2.18</vt:lpstr>
      <vt:lpstr>Tabela 2.15</vt:lpstr>
      <vt:lpstr>Tabela 2.16</vt:lpstr>
      <vt:lpstr>Wykres 2.19</vt:lpstr>
      <vt:lpstr>Wykres 2.20</vt:lpstr>
      <vt:lpstr>Wykres 2.21</vt:lpstr>
      <vt:lpstr>Wykres 2.22</vt:lpstr>
      <vt:lpstr>Wykres 2.23</vt:lpstr>
      <vt:lpstr>Wykres 2.24</vt:lpstr>
      <vt:lpstr>Tabela 2.17</vt:lpstr>
      <vt:lpstr>Tabela 2.18</vt:lpstr>
      <vt:lpstr>Wykres 2.25a</vt:lpstr>
      <vt:lpstr>Wykres 2.25b</vt:lpstr>
      <vt:lpstr>Wykres 2.26a</vt:lpstr>
      <vt:lpstr>Wykres 2.26b</vt:lpstr>
      <vt:lpstr>Wykres 2.27</vt:lpstr>
      <vt:lpstr>Wykres 2.28</vt:lpstr>
      <vt:lpstr>Wykres 2.29</vt:lpstr>
      <vt:lpstr>Wykres 2.30</vt:lpstr>
      <vt:lpstr>Tabela 2.19</vt:lpstr>
      <vt:lpstr>Wykres 2.31</vt:lpstr>
      <vt:lpstr>Wykres 2.32</vt:lpstr>
      <vt:lpstr>Tabela 2.20</vt:lpstr>
      <vt:lpstr>Wykres 2.33</vt:lpstr>
      <vt:lpstr>Wykres 2.34</vt:lpstr>
      <vt:lpstr>Tabela 2.21</vt:lpstr>
      <vt:lpstr>Wykres 2.35</vt:lpstr>
      <vt:lpstr>Wykres 2.36</vt:lpstr>
      <vt:lpstr>Wykres 2.37</vt:lpstr>
      <vt:lpstr>Tabela 2.22</vt:lpstr>
      <vt:lpstr>Wykres 2.38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2023-04-03T14:02:06Z</dcterms:created>
  <dcterms:modified xsi:type="dcterms:W3CDTF">2023-04-04T07:58:14Z</dcterms:modified>
</cp:coreProperties>
</file>