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K:\raporty_zdrowe_dane\depresja_raport_aktualizacja\2023\sklelajnie_xlsx\"/>
    </mc:Choice>
  </mc:AlternateContent>
  <xr:revisionPtr revIDLastSave="0" documentId="13_ncr:1_{D6508271-DB50-4827-BF12-ACE20B9AD18C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Spis treści" sheetId="1" r:id="rId1"/>
    <sheet name="Wykres 1.1a" sheetId="2" r:id="rId2"/>
    <sheet name="Wykres 1.1b" sheetId="3" r:id="rId3"/>
    <sheet name="Wykres 1.2" sheetId="4" r:id="rId4"/>
    <sheet name="Wykres 1.3a" sheetId="5" r:id="rId5"/>
    <sheet name="Wykres 1.3b" sheetId="6" r:id="rId6"/>
    <sheet name="Wykres 1.4" sheetId="7" r:id="rId7"/>
    <sheet name="Tabela 2.1" sheetId="8" r:id="rId8"/>
    <sheet name="Wykres 2.1" sheetId="9" r:id="rId9"/>
    <sheet name="Wykres 2.2" sheetId="10" r:id="rId10"/>
    <sheet name="Tabela 2.2" sheetId="11" r:id="rId11"/>
    <sheet name="Wykres 2.3" sheetId="12" r:id="rId12"/>
    <sheet name="Wykres 2.4" sheetId="13" r:id="rId13"/>
    <sheet name="Tabela 2.3" sheetId="14" r:id="rId14"/>
    <sheet name="Tabela 2.4" sheetId="15" r:id="rId15"/>
    <sheet name="Tabela 2.5" sheetId="16" r:id="rId16"/>
    <sheet name="Wykres 2.5" sheetId="17" r:id="rId17"/>
    <sheet name="Tabela 2.6" sheetId="18" r:id="rId18"/>
    <sheet name="Wykres 2.6" sheetId="19" r:id="rId19"/>
    <sheet name="Tabela 2.7" sheetId="20" r:id="rId20"/>
    <sheet name="Tabela 2.8" sheetId="21" r:id="rId21"/>
    <sheet name="Tabela 2.9" sheetId="22" r:id="rId22"/>
    <sheet name="Wykres 2.7" sheetId="23" r:id="rId23"/>
    <sheet name="Wykres 2.8" sheetId="24" r:id="rId24"/>
    <sheet name="Tabela 2.10" sheetId="25" r:id="rId25"/>
    <sheet name="Wykres 2.9" sheetId="26" r:id="rId26"/>
    <sheet name="Wykres 2.10" sheetId="27" r:id="rId27"/>
    <sheet name="Tabela 2.11" sheetId="28" r:id="rId28"/>
    <sheet name="Tabela 2.12" sheetId="29" r:id="rId29"/>
    <sheet name="Wykres 2.11" sheetId="30" r:id="rId30"/>
    <sheet name="Wykres 2.12" sheetId="31" r:id="rId31"/>
    <sheet name="Tabela 2.13" sheetId="32" r:id="rId32"/>
    <sheet name="Wykres 2.13" sheetId="33" r:id="rId33"/>
    <sheet name="Wykres 2.14" sheetId="34" r:id="rId34"/>
    <sheet name="Wykres 2.15" sheetId="35" r:id="rId35"/>
    <sheet name="Wykres 2.16" sheetId="36" r:id="rId36"/>
    <sheet name="Wykres 2.17" sheetId="37" r:id="rId37"/>
    <sheet name="Tabela 2.14" sheetId="38" r:id="rId38"/>
    <sheet name="Wykres 2.18" sheetId="39" r:id="rId39"/>
    <sheet name="Tabela 2.15" sheetId="40" r:id="rId40"/>
    <sheet name="Wykres 2.19" sheetId="41" r:id="rId41"/>
    <sheet name="Wykres 2.20" sheetId="42" r:id="rId42"/>
    <sheet name="Tabela 2.16" sheetId="43" r:id="rId43"/>
    <sheet name="Tabela 2.17" sheetId="44" r:id="rId44"/>
    <sheet name="Wykres 2.21" sheetId="45" r:id="rId45"/>
    <sheet name="Tabela 2.18" sheetId="46" r:id="rId46"/>
    <sheet name="Tabela 2.19" sheetId="47" r:id="rId47"/>
    <sheet name="Tabela 2.20" sheetId="48" r:id="rId48"/>
    <sheet name="Wykres 2.22" sheetId="49" r:id="rId49"/>
    <sheet name="Tabela 2.21" sheetId="50" r:id="rId50"/>
    <sheet name="Wykres 2.23a" sheetId="51" r:id="rId51"/>
    <sheet name="Wykres 2.23b" sheetId="52" r:id="rId52"/>
    <sheet name="Wykres 2.24a" sheetId="53" r:id="rId53"/>
    <sheet name="Wykres 2.24b" sheetId="54" r:id="rId54"/>
    <sheet name="Wykres 2.25" sheetId="55" r:id="rId55"/>
    <sheet name="Tabela 2.21a" sheetId="56" r:id="rId56"/>
    <sheet name="Wykres 2.26" sheetId="57" r:id="rId57"/>
    <sheet name="Tabela 2.22" sheetId="58" r:id="rId58"/>
    <sheet name="Wykres 2.27" sheetId="59" r:id="rId59"/>
    <sheet name="Tabela 2.23" sheetId="60" r:id="rId60"/>
    <sheet name="Wykres 2.28" sheetId="61" r:id="rId61"/>
    <sheet name="Wykres 2.29" sheetId="62" r:id="rId62"/>
    <sheet name="Tabela 2.24" sheetId="63" r:id="rId63"/>
    <sheet name="Wykres 3.1" sheetId="64" r:id="rId64"/>
    <sheet name="Wykres 3.2" sheetId="65" r:id="rId65"/>
    <sheet name="Wykres 3.3" sheetId="66" r:id="rId66"/>
    <sheet name="Wykres 3.4" sheetId="67" r:id="rId67"/>
    <sheet name="Wykres 3.5" sheetId="68" r:id="rId68"/>
    <sheet name="Tabela 3.1" sheetId="69" r:id="rId69"/>
    <sheet name="Wykres 3.6" sheetId="70" r:id="rId70"/>
    <sheet name="Wykres 3.7" sheetId="71" r:id="rId71"/>
    <sheet name="Wykres 3.8" sheetId="72" r:id="rId7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72" l="1"/>
  <c r="A40" i="71"/>
  <c r="A29" i="70"/>
  <c r="A18" i="69"/>
  <c r="A40" i="68"/>
  <c r="A40" i="67"/>
  <c r="A18" i="66"/>
  <c r="A18" i="65"/>
  <c r="A18" i="64"/>
  <c r="A19" i="63"/>
  <c r="A42" i="62"/>
  <c r="A26" i="61"/>
  <c r="A19" i="60"/>
  <c r="A42" i="59"/>
  <c r="A19" i="58"/>
  <c r="A18" i="57"/>
  <c r="A60" i="56"/>
  <c r="A25" i="55"/>
  <c r="A25" i="54"/>
  <c r="A55" i="53"/>
  <c r="A25" i="52"/>
  <c r="A55" i="51"/>
  <c r="A60" i="50"/>
  <c r="A12" i="49"/>
  <c r="A78" i="48"/>
  <c r="A30" i="47"/>
  <c r="A20" i="46"/>
  <c r="A87" i="45"/>
  <c r="A24" i="44"/>
  <c r="A24" i="43"/>
  <c r="A87" i="42"/>
  <c r="A87" i="41"/>
  <c r="A24" i="40"/>
  <c r="A87" i="39"/>
  <c r="A21" i="38"/>
  <c r="A21" i="37"/>
  <c r="A23" i="36"/>
  <c r="A26" i="35"/>
  <c r="A26" i="34"/>
  <c r="A98" i="33"/>
  <c r="A21" i="32"/>
  <c r="A21" i="31"/>
  <c r="A21" i="30"/>
  <c r="A21" i="29"/>
  <c r="A21" i="28"/>
  <c r="A21" i="27"/>
  <c r="A40" i="26"/>
  <c r="A21" i="25"/>
  <c r="A15" i="24"/>
  <c r="A10" i="23"/>
  <c r="A24" i="22"/>
  <c r="A18" i="21"/>
  <c r="A18" i="20"/>
  <c r="A53" i="19"/>
  <c r="A24" i="18"/>
  <c r="A39" i="17"/>
  <c r="A20" i="16"/>
  <c r="A24" i="15"/>
  <c r="A20" i="14"/>
  <c r="A29" i="13"/>
  <c r="A29" i="12"/>
  <c r="A18" i="11"/>
  <c r="A23" i="10"/>
  <c r="A21" i="9"/>
  <c r="A18" i="8"/>
  <c r="A39" i="7"/>
  <c r="A39" i="6"/>
  <c r="A39" i="5"/>
  <c r="A47" i="4"/>
  <c r="A71" i="3"/>
  <c r="A71" i="2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<sst xmlns="http://schemas.openxmlformats.org/spreadsheetml/2006/main" count="2408" uniqueCount="531">
  <si>
    <t>Wykres 1.1a: Odsetek osób chorych na depresję (F32, F33, F34.1 wg ICD-10) w wybranych krajach europejskich w roku 2014 i 2019</t>
  </si>
  <si>
    <t>Rok</t>
  </si>
  <si>
    <t>Kraj</t>
  </si>
  <si>
    <t>Odsetek ludności</t>
  </si>
  <si>
    <t>Dolny przedział ufności odsetka ludności</t>
  </si>
  <si>
    <t>Górny przedział ufności odsetka ludności</t>
  </si>
  <si>
    <t>Austria</t>
  </si>
  <si>
    <t>Belgia</t>
  </si>
  <si>
    <t>Bułgaria</t>
  </si>
  <si>
    <t>Chorwacja</t>
  </si>
  <si>
    <t>Cypr</t>
  </si>
  <si>
    <t>Czechy</t>
  </si>
  <si>
    <t>Dania</t>
  </si>
  <si>
    <t>Estonia</t>
  </si>
  <si>
    <t>Unia Europejska</t>
  </si>
  <si>
    <t>Finlandia</t>
  </si>
  <si>
    <t>Francja</t>
  </si>
  <si>
    <t>Niemcy</t>
  </si>
  <si>
    <t>Grecja</t>
  </si>
  <si>
    <t>Węgry</t>
  </si>
  <si>
    <t>Islandia</t>
  </si>
  <si>
    <t>Irlandia</t>
  </si>
  <si>
    <t>Włochy</t>
  </si>
  <si>
    <t>Łotwa</t>
  </si>
  <si>
    <t>Litwa</t>
  </si>
  <si>
    <t>Luksemburg</t>
  </si>
  <si>
    <t>Malta</t>
  </si>
  <si>
    <t>Holandia</t>
  </si>
  <si>
    <t>Norwegia</t>
  </si>
  <si>
    <t>Polska</t>
  </si>
  <si>
    <t>Portugalia</t>
  </si>
  <si>
    <t>Rumunia</t>
  </si>
  <si>
    <t>Słowacja</t>
  </si>
  <si>
    <t>Słowenia</t>
  </si>
  <si>
    <t>Hiszpania</t>
  </si>
  <si>
    <t>Szwecja</t>
  </si>
  <si>
    <t>Szwajcaria</t>
  </si>
  <si>
    <t>Wielka Brytania</t>
  </si>
  <si>
    <t>Źródło: opracowanie własne na podstawie danych Institute for Health Metrics and Evaluation (IHME)</t>
  </si>
  <si>
    <t>Wykres 1.1b: Standaryzowany wiekiem odsetek osób chorych na depresję (F32, F33, F34.1 wg ICD-10) w wybranych krajach europejskich w roku 2014 i 2019</t>
  </si>
  <si>
    <t>Wykres 1.2: Liczba osób chorych na depresję (F32, F33, F34.1 wg ICD-10) w Polsce (2000-2019) jako odsetek ludności (lewy wykres) i w wartościach bezwzględnych (prawy wykres)</t>
  </si>
  <si>
    <t>Płeć</t>
  </si>
  <si>
    <t>Liczba (w tys.)</t>
  </si>
  <si>
    <t>Dolny przedział ufności liczby (w tys.)</t>
  </si>
  <si>
    <t>Górny przedział ufności liczby (w tys.)</t>
  </si>
  <si>
    <t>Kobiety</t>
  </si>
  <si>
    <t>Mężczyźni</t>
  </si>
  <si>
    <t>Wykres 1.3a: Odsetek osób chorych na depresję (F32, F33, F34.1 wg ICD-10) w wybranych krajach europejskich – kobiety (2019)</t>
  </si>
  <si>
    <t>Wykres 1.3b: Odsetek osób chorych na depresję (F32, F33, F34.1 wg ICD-10) w wybranych krajach europejskich – mężczyźni (2019)</t>
  </si>
  <si>
    <t>Wykres 1.4: Udział DALY (utracone lata życia z powodu choroby skorygowane niesprawnością) z powodu depresji (F32, F33, F34.1 wg ICD-10) wśród DALY z powodu wszystkich chorób w wybranych krajach europejskich (2019)</t>
  </si>
  <si>
    <t>Odsetek</t>
  </si>
  <si>
    <t>Dolny przedział ufności odsetka</t>
  </si>
  <si>
    <t>Górny przedział ufności odsetka</t>
  </si>
  <si>
    <t>Tabela 2.1: Struktura wieku i płci pacjentów, którym udzielono świadczenia z rozpoznaniem głównym lub współistniejącym depresji—F31.3–F31.6, F32, F33, F34.1, F34.8, F34.9, F38, F39 (2013–2023)</t>
  </si>
  <si>
    <t>Łącznie (tys.)</t>
  </si>
  <si>
    <t>0-17</t>
  </si>
  <si>
    <t>18-34</t>
  </si>
  <si>
    <t>35-44</t>
  </si>
  <si>
    <t>45-54</t>
  </si>
  <si>
    <t>55-64</t>
  </si>
  <si>
    <t>65-74</t>
  </si>
  <si>
    <t>75+</t>
  </si>
  <si>
    <t>% kobiet</t>
  </si>
  <si>
    <t>Źródło: opracowanie własne na podstawie danych NFZ</t>
  </si>
  <si>
    <t>Wykres 2.1: Liczba osób, którym udzielono świadczenia z rozpoznaniem depresji (F31.3–F31.6, F32, F33, F34.1, F34.8, F34.9, F38, F39 wg ICD-10, głównym lub współistniejącym) wg grup wiekowych oraz płci (2023)</t>
  </si>
  <si>
    <t>Grupa wiekowa</t>
  </si>
  <si>
    <t>Liczba pacjentów</t>
  </si>
  <si>
    <t>Wykres 2.2: Odsetek osób, którym udzielono świadczenia z rozpoznaniem depresji (F31.3–F31.6, F32, F33, F34.1, F34.8, F34.9, F38, F39 wg ICD-10, głównym lub współistniejącym) wg województwa zamieszkania wśród ludności województwa (2023)</t>
  </si>
  <si>
    <t>Województwo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</si>
  <si>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</si>
  <si>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</si>
  <si>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</si>
  <si>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</si>
  <si>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</si>
  <si>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</si>
  <si>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</si>
  <si>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</si>
  <si>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</si>
  <si>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</si>
  <si>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</si>
  <si>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</si>
  <si>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</si>
  <si>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</si>
  <si>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</si>
  <si>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</si>
  <si>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Źródło: opracowanie własne na podstawie danych NFZ i GUS</t>
  </si>
  <si>
    <t>Tabela 2.2: Liczba pacjentów, którym udzielono świadczenia z rozpoznaniem głównym depresji (F31.3–F31.6, F32, F33, F34.1, F34.8, F34.9, F38, F39 wg ICD-10) wg rodzajów świadczeń</t>
  </si>
  <si>
    <t>Podstawowa opieka zdrowotna (tys.)</t>
  </si>
  <si>
    <t>Opieka psychiatryczna i leczenie uzależnień oraz pilotaż CZP oraz program oddziaływań terapeutycznych (tys.)</t>
  </si>
  <si>
    <t>Ambulatoryjna opieka specjalistyczna (tys.)</t>
  </si>
  <si>
    <t>Ratownictwo medyczne (tys.)</t>
  </si>
  <si>
    <t>Wykres 2.3: Liczba pacjentów, którym udzielono świadczenia z rozpoznaniem głównym depresji (F31.3–F31.6, F32, F33, F34.1, F34.8, F34.9, F38, F39 wg ICD-10) wg najczęstszych rodzajów świadczeń—niepełnoletni (2013–2023)</t>
  </si>
  <si>
    <t>Rodzaj świadczeń</t>
  </si>
  <si>
    <t>2013</t>
  </si>
  <si>
    <t>Opieka psychiatryczna i leczenie uzależnień + pilotaż CZP + program oddziaływań terapeutycznych</t>
  </si>
  <si>
    <t>Podstawowa opieka zdrowotna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</si>
  <si>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</si>
  <si>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</si>
  <si>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</si>
  <si>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</si>
  <si>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</si>
  <si>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</si>
  <si>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</si>
  <si>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</si>
  <si>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</si>
  <si>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</si>
  <si>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Wykres 2.4: Liczba pacjentów, którym udzielono świadczenia z rozpoznaniem głównym depresji (F31.3–F31.6, F32, F33, F34.1, F34.8, F34.9, F38, F39 wg ICD-10) wg najczęstszych rodzajów świadczeń—dorośli (2013–2023)</t>
  </si>
  <si>
    <t>Tabela 2.3: Pacjenci, którym udzielono świadczenia w podstawowej opiece zdrowotnej w związku z depresją—F31.3–F31.6, F32, F33, F34.1, F34.8, F34.9, F38, F39 wg ICD-10 (2013–2023)</t>
  </si>
  <si>
    <t>Liczba pacjentów, którym udzielono świadczenia z rozpoznaniem głównym depresji (tys.)</t>
  </si>
  <si>
    <t>Liczba pacjentów, którym udzielono świadczenia z rozpoznaniem głównym Z76 i wystawiono receptę na leki przeciwdepresyjne (tys.)</t>
  </si>
  <si>
    <t>Liczba pacjentów, którym udzielono świadczenia z rozpoznaniem głównym Z76 i wystawiono receptę na leki przeciwdepresyjne z powodu depresji* (tys.)</t>
  </si>
  <si>
    <t>*z uwagi na brak informacji o wskazaniach refundacyjnych jest to informacja o recepcie wystawionej na refundowane leki przeciwdepresyjne (N06A wg ATC) przemnożona przez udział świadczeń z rozpoznaniem głównym depresji wśród świadczeń w poradniach psychiatrycznych, na których wystawionono receptę na refundowane i następnie wykupione leki przeciwdepresyjne.</t>
  </si>
  <si>
    <t>Tabela 2.4: Liczba pacjentów, którym udzielono świadczenia z rozpoznaniem głównym depresji (F31.3–F31.6, F32, F33, F34.1, F34.8, F34.9, F38, F39 wg ICD-10) wg form opieki (2013–2023)</t>
  </si>
  <si>
    <t>Poradnie psychologiczne, psychiatryczne i leczenia uzależnień (tys.)</t>
  </si>
  <si>
    <t>Oddziały psychiatryczne (szpitalne) (tys.)</t>
  </si>
  <si>
    <t>SOR/IP/ZRM (tys.)</t>
  </si>
  <si>
    <t>Oddziały dzienne (tys.)</t>
  </si>
  <si>
    <t>ZLŚ (tys.)</t>
  </si>
  <si>
    <t>Poradnie psychologiczne, psychiatryczne i leczenia uzależnień—komórki o kodach resortowych rozpoczynających się od „17”</t>
  </si>
  <si>
    <t>Oddziały dzienne—komórki o kodach resortowych rozpoczynających się od „270”,</t>
  </si>
  <si>
    <t>Zespoły leczenia środowiskowego (ZLŚ)—komórki o kodach resortowych rozpoczynających się od „273”,</t>
  </si>
  <si>
    <t>Oddziały psychiatryczne (szpitalne) —komórki o kodach resortowych rozpoczynających się od „47”,</t>
  </si>
  <si>
    <t>Szpitalne oddziały ratunkowe/Izby Przyjęć/Zespół Ratownictwa Medycznego (SOR/IP/ZRM)—komórki o kodach resortowych 4900, 4901, 4902, 4903, 3300, 3301, 3112, 3114</t>
  </si>
  <si>
    <t>Tabela 2.5: Świadczenia udzielone w podstawowej opiece zdrowotnej w związku z depresją— F31.3–F31.6, F32, F33, F34.1, F34.8, F34.9, F38, F39 wg ICD-10 (2013–2023)</t>
  </si>
  <si>
    <t>Liczba świadczeń z rozpoznaniem głównym depresji (tys.)</t>
  </si>
  <si>
    <t>Liczba świadczeń z rozpoznaniem głównym Z76 i wystawioną receptą na leki przeciwdepresyjne (tys.)</t>
  </si>
  <si>
    <t>Liczba świadczeń z rozpoznaniem głównym Z76 i wystawioną receptą na leki przeciwdepresyjne z powodu depresji* (tys.)</t>
  </si>
  <si>
    <t>Wykres 2.5: Zmiana procentowa liczby świadczeń w POZ, SOR/IP/ZRM i świadczeń w POZ z rozpoznaniem głównym Z76 i wystawioną receptą na leki przeciwdepresyjne z powodu depresji (F31.3–F31.6, F32, F33, F34.1, F34.8, F34.9, F38, F39 wg ICD-10) w porównaniu do 2013 r.</t>
  </si>
  <si>
    <t>Zmiana procentowa (%)</t>
  </si>
  <si>
    <t>POZ</t>
  </si>
  <si>
    <t>SOR/IP/ZRM</t>
  </si>
  <si>
    <t>POZ - recepty</t>
  </si>
  <si>
    <t>*świadczenia udzielone w POZ z rozpoznaniem głównym Z76 i wystawioną receptą na refundowane leki przeciwdepresyjne skorygowane o odsetek świadczeń z depresją (z uwagi na brak informacji o wskazaniach refundacyjnych jest to informacja o recepcie wystawionej na refundowane leki przeciwdepresyjne (N06A wg ATC) przemnożona przez udział świadczeń z rozpoznaniem głównym depresji wśród świadczeń w poradniach psychiatrycznych, na których wystawionono receptę na refundowane i następnie wykupione leki przeciwdepresyjne).</t>
  </si>
  <si>
    <t>Tabela 2.6: Świadczenia udzielone  z rozpoznaniem głównym depresji (F31.3–F31.6, F32, F33, F34.1, F34.8, F34.9, F38, F39 wg ICD-10) wg form opieki (2013–2023)</t>
  </si>
  <si>
    <t>Poradnie psychiatryczne – liczba świadczeń (tys.)</t>
  </si>
  <si>
    <t>Oddziały psychiatryczne (szpitalne) – liczba hospitalizacji (tys.)</t>
  </si>
  <si>
    <t>Oddziały psychiatryczne (szpitalne) – liczba osobodni (tys.)</t>
  </si>
  <si>
    <t>Oddziały dzienne – liczba osobodni (tys.)</t>
  </si>
  <si>
    <t>ZLŚ – liczba osobodni (tys.)</t>
  </si>
  <si>
    <t>SOR/IP/ZRM – liczba świadczeń (tys.)</t>
  </si>
  <si>
    <t>Wykres 2.6: Zmiana procentowa liczby świadczeń w poradniach psychiatrycznych oraz osobodni na psychiatrycznych oddziałach szpitalnych, oddziałach dziennych oraz ZLŚ w odniesieniu do 2013 r. udzielonych  z rozpoznaniem głównym depresji (F31.3–F31.6, F32, F33, F34.1, F34.8, F34.9, F38, F39 wg ICD-10)</t>
  </si>
  <si>
    <t>Poradnie psychologiczne, psychiatryczne i leczenia uzależnień</t>
  </si>
  <si>
    <t>Oddziały psychiatryczne (szpitalne)</t>
  </si>
  <si>
    <t>Oddziały dzienne</t>
  </si>
  <si>
    <t>ZLŚ</t>
  </si>
  <si>
    <t>Tabela 2.7: Świadczenia udzielone z rozpoznaniem głównym depresji (F31.3–F31.6, F32, F33, F34.1, F34.8, F34.9, F38, F39 wg ICD-10) w poradniach psychiatrycznych (2013–2023)</t>
  </si>
  <si>
    <t>Liczba świadczeń (tys.)</t>
  </si>
  <si>
    <t>% porad lekarskich</t>
  </si>
  <si>
    <t>% porad psychologicznych</t>
  </si>
  <si>
    <t>% psychoterapii</t>
  </si>
  <si>
    <t>Tabela 2.8: Struktura porad lekarskich udzielonych w poradniach psychiatrycznych z rozpoznaniem głównym depresji—F31.3–F31.6, F32, F33, F34.1, F34.8, F34.9, F38, F39 wg ICD-10 (2013–2023)</t>
  </si>
  <si>
    <t>% porad terapeutycznych</t>
  </si>
  <si>
    <t>% porad kontrolnych</t>
  </si>
  <si>
    <t>% porad diagnostycznych</t>
  </si>
  <si>
    <t>Tabela 2.9: Odsetek pacjentów korzystających z rozpoznaniem głównym (F31.3–F31.6, F32, F33, F34.1, F34.8, F34.9, F38, F39 wg ICD-10) z poszczególnych form leczenia (2013–2023)</t>
  </si>
  <si>
    <t>Oddziały dzielnie</t>
  </si>
  <si>
    <t>Wykres 2.7: Liczba i udział pacjentów, którym udzielono świadczenie w POZ, opiece psychiatrycznej i leczeniu uzależnień lub pilotażu CZP z rozpoznaniem głównym depresji—F31.3–F31.6, F32, F33, F34.1, F34.8, F34.9, F38, F39 wg ICD-10 (2023)</t>
  </si>
  <si>
    <t>wyłącznie: opieka psychiatryczna lub pilotaż CZP lub program oddziaływań terapeutycznych</t>
  </si>
  <si>
    <t>wyłącznie: podstawowa opieka zdrowotna</t>
  </si>
  <si>
    <t>podstawowa opieka zdrowotna ORAZ opieka psychiatryczna lub pilotaż CZP lub program oddziaływań terapeutycznych</t>
  </si>
  <si>
    <t>Wykres 2.8: Kombinacje korzystania z form opieki w latach 2013–2023 przez pacjentów, którym w 2023 r. udzielono świadczenia z rozpoznaniem głównym depresji (F31.3–F31.6, F32, F33, F34.1, F34.8, F34.9, F38, F39 wg ICD-10)</t>
  </si>
  <si>
    <t>Odsetek pacjentów</t>
  </si>
  <si>
    <t>TAK</t>
  </si>
  <si>
    <t>NIE</t>
  </si>
  <si>
    <t>Tabela 2.10: Wartość refundacji świadczeń udzielonych z rozpoznaniem głównym depresji (F31.3–F31.6, F32, F33, F34.1, F34.8, F34.9, F38, F39 wg ICD-10, rozpoznanie główne) wg form opieki (2013–2023)</t>
  </si>
  <si>
    <t>Wartość refundacji świadczeń: łącznie (mln zł)</t>
  </si>
  <si>
    <t>Wartość refundacji świadczeń: oddziały psychiatryczne (szpitalne) (mln zł)</t>
  </si>
  <si>
    <t>Wartość refundacji świadczeń: poradnie psychologiczne, psychiatryczne i leczenia uzależnień (mln zł)</t>
  </si>
  <si>
    <t>Wartość refundacji świadczeń: oddziały dzienne (mln zł)</t>
  </si>
  <si>
    <t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ratunkowych, świadczeń CZP rozliczanych ryczałtem). 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</si>
  <si>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Należy zauważyć, że na wzrost wartości refundacji w 2022 r. wpłyneła Rekomendacja nr 65/2022 z dnia 13 lipca 2022 r. Prezesa Agencji Oceny Technologii Medycznych i Taryfikacji w sprawie zmiany sposobu lub poziomu finansowania świadczeń opieki zdrowotnej.</t>
  </si>
  <si>
    <t>Wykres 2.9: Procentowa zmiana łącznej wartości refundacji świadczeń udzielonych z rozpoznaniem głównym depresji (F31.3–F31.6, F32, F33, F34.1, F34.8, F34.9, F38, F39 wg ICD-10) w stosunku do 2013 r. wg form opieki</t>
  </si>
  <si>
    <t>Forma opieki</t>
  </si>
  <si>
    <t>Procentowa zmiana w stosunku do 2013 r.</t>
  </si>
  <si>
    <t>PORADNIE PSYCHOLOGICZNE, PSYCHIATRYCZNE i LECZENIA UZALEŻNIEŃ</t>
  </si>
  <si>
    <t>OPIEKA DZIENNA</t>
  </si>
  <si>
    <t>ODDZIAŁY PSYCHIATRYCZNE (SZPITALNE)</t>
  </si>
  <si>
    <t xml:space="preserve">Wartość refundacji świadczeń odnosi się do świadczeń, dla których wartość rozliczonego świadczenia była większa od zera (nie uwzględnia zatem m.in. świadczeń CZP czy świadczeń opieki środowiskowej dla dzieci i młodzieży rozliczanych ryczałtem). </t>
  </si>
  <si>
    <t>Wykres 2.10: Wartość refundacji świadczeń udzielonych z rozpoznaniem głównym depresji (F31.3–F31.6, F32, F33, F34.1, F34.8, F34.9, F38, F39 wg ICD-10) w przeliczeniu na pacjenta (2013–2023)</t>
  </si>
  <si>
    <t>Wartość refundacji świadczeń w przeliczeniu na 1 pacjenta (zł)</t>
  </si>
  <si>
    <t>Tabela 2.11: Wartość refundacji świadczeń udzielonych z rozpoznaniem głównym depresji (F31.3–F31.6, F32, F33, F34.1, F34.8, F34.9, F38, F39 wg ICD-10) w poradniach psychiatrycznych w podziale na rodzaj porady (2013–2023)</t>
  </si>
  <si>
    <t>Łącznie (mln zł)</t>
  </si>
  <si>
    <t>Porady lekarskie (mln zł)</t>
  </si>
  <si>
    <t>Porady psychologiczne (mln zł)</t>
  </si>
  <si>
    <t>Psychoterapia (mln zł)</t>
  </si>
  <si>
    <t>Tabela 2.12: Wartość refundacji porad lekarskich udzielonych z rozpoznaniem głównym depresji (F31.3–F31.6, F32, F33, F34.1, F34.8, F34.9, F38, F39 wg ICD-10) w poradniach psychiatrycznych w podziale na rodzaj porady (2013–2023)</t>
  </si>
  <si>
    <t>Porady diagnostyczne (mln zł)</t>
  </si>
  <si>
    <t>Porady kontrolne (mln zł)</t>
  </si>
  <si>
    <t>Porady terapeutyczne (mln zł)</t>
  </si>
  <si>
    <t>Wykres 2.11: Liczba pacjentów (w tys.) realizujących recepty na refundowane leki przeciwdepresyjne (2013–2023)</t>
  </si>
  <si>
    <t>Liczba pacjentów (w tys.)</t>
  </si>
  <si>
    <t xml:space="preserve">Na podstawie dostępnych danych o realizacji recepty nie ma możliwości określenia w związku z jakim wskazaniem refundacyjnym została zrealizowana recepta, dlatego też informacji przedstawionych w tej części nie należy uznawać jako związanych wyłącznie z leczeniem depresji. </t>
  </si>
  <si>
    <t>Są to leki stosowane w leczeniu depresji, jak również w leczeniu innych chorób; zakres wskazań refundacyjnych jest w wielu przypadkach znacznie szerszy i obejmuje również m.in.: inne choroby psychiczne lub upośledzenia umysłowe (sertralinum), neuralgię (amitriptilinum), a także bólową polineuropatię cukrzycową (venlafaxinum).</t>
  </si>
  <si>
    <t>Wykres 2.12: Liczba pacjentów (w tys.) poniżej 18 r.ż., którzy zrealizowali receptę na refundowane leki przeciwdepresyjne (2013–2023)</t>
  </si>
  <si>
    <t>Tabela 2.13: Struktura wieku i płci pacjentów realizujących recepty na refundowane leki przeciwdepresyjne (2013–2023)</t>
  </si>
  <si>
    <t>Łączna liczba osób (mln)</t>
  </si>
  <si>
    <t>&lt; 18</t>
  </si>
  <si>
    <t>18 - 34</t>
  </si>
  <si>
    <t>35 - 44</t>
  </si>
  <si>
    <t>45 - 54</t>
  </si>
  <si>
    <t>55 - 64</t>
  </si>
  <si>
    <t>65 - 74</t>
  </si>
  <si>
    <t>75 - 84</t>
  </si>
  <si>
    <t>85+</t>
  </si>
  <si>
    <t>Odsetek kobiet</t>
  </si>
  <si>
    <t>Wykres 2.13: Struktura wieku pacjentów realizujących recepty na refundowane leki przeciwdepresyjne (2013–2023)</t>
  </si>
  <si>
    <t>Liczba pacjentów (tys.)</t>
  </si>
  <si>
    <t>Wykres 2.14: Odsetek pacjentów zamieszkałych w miastach i gminach miejskich wśród pacjentów, którzy w 2023 r. zrealizowali co najmniej jedną receptę na refundowany lek przeciwdepresyjny</t>
  </si>
  <si>
    <t>Wykres 2.15: Odsetek osób, które w 2023 roku zrealizowały co najmniej jedną receptę na refundowany lek przeciwdepresyjny w stosunku do ludności województwa</t>
  </si>
  <si>
    <t>Wykres 2.16: Wartość refundacji oraz dopłat pacjentów dla refundowanych leków przeciwdepresyjnych (2013–2023)</t>
  </si>
  <si>
    <t>Dopłata pacjentów (mln zł)</t>
  </si>
  <si>
    <t>Refundacja (mln zł)</t>
  </si>
  <si>
    <t>Wykres 2.17: Wartość średniej refundacji oraz średnich dopłat pacjentów do refundowanych leków przeciwdepresyjnych w przeliczeniu na pacjenta (2013–2023)</t>
  </si>
  <si>
    <t>Tabela 2.14: Realizacja recept na refundowane leki przeciwdepresyjne (2013–2023)</t>
  </si>
  <si>
    <t>Suma refundacji (mln zł)</t>
  </si>
  <si>
    <t>Suma dopłat pacjentów (mln zł)</t>
  </si>
  <si>
    <t>Liczba opakowań (mln)</t>
  </si>
  <si>
    <t>Liczba pozycji recept (mln)</t>
  </si>
  <si>
    <t>Suma DDD (mln)</t>
  </si>
  <si>
    <t>Wykres 2.18: Liczba pacjentów (w tys.) realizująca recepty na refundowane leki przeciwdepresyjne według wyszczególnionych substancji czynnych (2013–2023)</t>
  </si>
  <si>
    <t>Nazwa substancji</t>
  </si>
  <si>
    <t>fluoxetinum</t>
  </si>
  <si>
    <t>mianserini hydrochloridum</t>
  </si>
  <si>
    <t>paroxetinum</t>
  </si>
  <si>
    <t>pozostałe</t>
  </si>
  <si>
    <t>sertralinum</t>
  </si>
  <si>
    <t>trazodoni hydrochloridum</t>
  </si>
  <si>
    <t>venlafaxinum</t>
  </si>
  <si>
    <t>Tabela 2.15: Liczba pacjentów (w tys.) realizujących recepty na refundowane leki przeciwdepresyjne wg wyszczególnionych substancji (2013–2023)</t>
  </si>
  <si>
    <t>Substancja czynna</t>
  </si>
  <si>
    <t>duloxetinum</t>
  </si>
  <si>
    <t>tianeptinum natricum</t>
  </si>
  <si>
    <t>vortioxetini hydrobromidum</t>
  </si>
  <si>
    <t>clomipramini hydrochloridum</t>
  </si>
  <si>
    <t>fluvoxamini maleas</t>
  </si>
  <si>
    <t>amitriptylini hydrochloridum</t>
  </si>
  <si>
    <t>łącznie</t>
  </si>
  <si>
    <t>Wykres 2.19: Liczba pacjentów (w tys.) poniżej 18 r.ż., którzy zrealizowali recepty na refundowane leki przeciwdepresyjne według wyszczególnionych substancji czynnych (2013–2023)</t>
  </si>
  <si>
    <t>Wykres 2.20: Wartość refundacji (w mln zł) leków przeciwdepresyjnych w podziale na substancje czynne (2013–2023)</t>
  </si>
  <si>
    <t>Wartość refundacji (mln zł)</t>
  </si>
  <si>
    <t>Tabela 2.16: Wartość refundacji (w mln zł) leków przeciwdepresyjnych wg substancji czynnych (2013–2023)</t>
  </si>
  <si>
    <t>agomelatinum</t>
  </si>
  <si>
    <t>moclobemidum</t>
  </si>
  <si>
    <t>Tabela 2.17: Wartość dopłat pacjentów (w mln) do refundowanych leków przeciwdepresyjnych wg substancji czynnych (2013–2023)</t>
  </si>
  <si>
    <t>Wykres 2.21: Liczba DDD (w mln) dla refundowanych leków przeciwdepresyjnych w podziale na substancje czynne (2013–2023)</t>
  </si>
  <si>
    <t>Liczba DDD (mln)</t>
  </si>
  <si>
    <t>Tabela 2.18: Miejsce wystawiania recept na refundowane leki przeciwdepresyjne (2023)</t>
  </si>
  <si>
    <t>Miejsce wystawiania recepty</t>
  </si>
  <si>
    <t>Liczba pozycji recept (tys.)</t>
  </si>
  <si>
    <t>% recept</t>
  </si>
  <si>
    <t>BRAK INFORMACJI</t>
  </si>
  <si>
    <t>PORADNIA INNA NIŻ PSYCHOLOGICZNA, PSYCHIATRYCZNA i LECZENIA UZALEŻNIEŃ</t>
  </si>
  <si>
    <t>ODDZIAŁY SZPITALNE INNE NIŻ PSYCHIATRYCZNE</t>
  </si>
  <si>
    <t>POZOSTAŁE</t>
  </si>
  <si>
    <t>Tabela 2.19: Świadczenia, w ramach których wystawiono receptę na refundowane leki przeciwdepresyjne (2023)</t>
  </si>
  <si>
    <t>Rozpoznanie wg ICD-10</t>
  </si>
  <si>
    <t>Nazwa rozpoznania</t>
  </si>
  <si>
    <t>% wszystkich świadczeń</t>
  </si>
  <si>
    <t>% świadczeń z rozpoznaniem współistniejącym F00-F99</t>
  </si>
  <si>
    <t>F00-F99</t>
  </si>
  <si>
    <t>Zaburzenia psychiczne i zaburzenia zachowania</t>
  </si>
  <si>
    <t>Z70-Z76</t>
  </si>
  <si>
    <t>Osoby stykające się ze służbą zdrowia w innych okolicznościach</t>
  </si>
  <si>
    <t>I10</t>
  </si>
  <si>
    <t>Samoistne (pierwotne) nadciśnienie</t>
  </si>
  <si>
    <t>E11</t>
  </si>
  <si>
    <t>Cukrzyca insulinoniezależna</t>
  </si>
  <si>
    <t>I11</t>
  </si>
  <si>
    <t>Choroba nadciśnieniowa z zajęciem serca</t>
  </si>
  <si>
    <t>E03</t>
  </si>
  <si>
    <t>Inne postacie niedoczynności tarczycy</t>
  </si>
  <si>
    <t>I25</t>
  </si>
  <si>
    <t>Przewlekła choroba niedokrwienna serca</t>
  </si>
  <si>
    <t>I50</t>
  </si>
  <si>
    <t>Niewydolność serca</t>
  </si>
  <si>
    <t>Z03</t>
  </si>
  <si>
    <t>Obserwacja medyczna i ocena przypadków podejrzanych o chorobę lub stany podobne</t>
  </si>
  <si>
    <t>I69</t>
  </si>
  <si>
    <t>Następstwa chorób naczyń mózgowych</t>
  </si>
  <si>
    <t>J06</t>
  </si>
  <si>
    <t>Ostre zakażenie górnych dróg oddechowych o umiejscowieniu mnogim lub nieokreślonym</t>
  </si>
  <si>
    <t>E78</t>
  </si>
  <si>
    <t>Zaburzenia przemian lipidów i inne lipidemie</t>
  </si>
  <si>
    <t>G54</t>
  </si>
  <si>
    <t>Zaburzenia korzeni nerwów rdzeniowych i splotów nerwowych</t>
  </si>
  <si>
    <t>M47</t>
  </si>
  <si>
    <t>Zmiany zwyrodnieniowe kręgosłupa</t>
  </si>
  <si>
    <t>I48</t>
  </si>
  <si>
    <t>Migotanie i trzepotanie przedsionków</t>
  </si>
  <si>
    <t>I70</t>
  </si>
  <si>
    <t>Miażdżyca</t>
  </si>
  <si>
    <t>J45</t>
  </si>
  <si>
    <t>Dychawica oskrzelowa</t>
  </si>
  <si>
    <t>M54</t>
  </si>
  <si>
    <t>Bóle grzbietu</t>
  </si>
  <si>
    <t>G40</t>
  </si>
  <si>
    <t>Padaczka</t>
  </si>
  <si>
    <t>M15</t>
  </si>
  <si>
    <t>Zwyrodnienia wielostawowe</t>
  </si>
  <si>
    <t>Tabela 2.20: Świadczenia, w ramach których wystawiono receptę na refundowane leki przeciwdepresyjne i dla których sprawozdano rozpoznanie główne z grupy: Zaburzenia psychiczne i zaburzenia zachowania (F00-F99) (2023)</t>
  </si>
  <si>
    <t>% świadczeń z rozpoznaniem F00-F99</t>
  </si>
  <si>
    <t>F41</t>
  </si>
  <si>
    <t>INNE ZABURZENIA LĘKOWE</t>
  </si>
  <si>
    <t>F33</t>
  </si>
  <si>
    <t>ZABURZENIE DEPRESYJNE NAWRACAJĄCE</t>
  </si>
  <si>
    <t>F32</t>
  </si>
  <si>
    <t>EPIZOD DEPRESYJNY</t>
  </si>
  <si>
    <t>F06</t>
  </si>
  <si>
    <t>INNE ZABURZENIA PSYCHICZNE SPOWODOWANE USZKODZENIEM LUB DYSFUNKCJĄ MÓZGU I CHOROBĄ SOMATYCZNĄ</t>
  </si>
  <si>
    <t>F43</t>
  </si>
  <si>
    <t>REAKCJA NA CIĘŻKI STRES I ZABURZENIA ADAPTACYJNE</t>
  </si>
  <si>
    <t>F20</t>
  </si>
  <si>
    <t>SCHIZOFRENIA</t>
  </si>
  <si>
    <t>F31</t>
  </si>
  <si>
    <t>ZABURZENIA AFEKTYWNE DWUBIEGUNOWE</t>
  </si>
  <si>
    <t>F48</t>
  </si>
  <si>
    <t>INNE ZABURZENIA NERWICOWE</t>
  </si>
  <si>
    <t>F10</t>
  </si>
  <si>
    <t>ZABURZENIA PSYCHICZNE I ZABURZENIA ZACHOWANIA SPOWODOWANE UŻYCIEM ALKOHOLU</t>
  </si>
  <si>
    <t>F34</t>
  </si>
  <si>
    <t>UPORCZYWE ZABURZENIA NASTROJU (AFEKTYWNE)</t>
  </si>
  <si>
    <t>F42</t>
  </si>
  <si>
    <t>ZABURZENIE OBSESYJNO-KOMPULSYJNE (NERWICA NATRĘCTW)</t>
  </si>
  <si>
    <t>F60</t>
  </si>
  <si>
    <t>SPECYFICZNE ZABURZENIA OSOBOWOŚCI</t>
  </si>
  <si>
    <t>F38</t>
  </si>
  <si>
    <t>INNE ZABURZENIA NASTROJU (AFEKTYWNE)</t>
  </si>
  <si>
    <t>F45</t>
  </si>
  <si>
    <t>ZABURZENIA WYSTĘPUJĄCE POD POSTACIĄ SOMATYCZNA /SOMATOFORM DISORDERS/</t>
  </si>
  <si>
    <t>F07</t>
  </si>
  <si>
    <t>ZABURZENIA OSOBOWOŚCI I ZACHOWANIA SPOWODOWANE CHOROBĄ, USZKODZENIEM LUB DYSFUNKCJĄ MÓZGU</t>
  </si>
  <si>
    <t>F00</t>
  </si>
  <si>
    <t>OTĘPIENIE W CHOROBIE ALZHEIMERA  (G30.-±)</t>
  </si>
  <si>
    <t>F84</t>
  </si>
  <si>
    <t>CAŁOŚCIOWE ZABURZENIA ROZWOJOWE</t>
  </si>
  <si>
    <t>F51</t>
  </si>
  <si>
    <t>NIEORGANICZNE ZABURZENIA SNU</t>
  </si>
  <si>
    <t>F03</t>
  </si>
  <si>
    <t>OTĘPIENIE BLIŻEJ NIEOKREŚLONE</t>
  </si>
  <si>
    <t>F71</t>
  </si>
  <si>
    <t>UPOŚLEDZENIE UMYSŁOWE UMIARKOWANE</t>
  </si>
  <si>
    <t>F19</t>
  </si>
  <si>
    <t>ZABURZENIA PSYCHICZNE I ZABURZENIA ZACHOWANIA SPOWODOWANE NAPRZEMIENNYM PRZYJMOWANIEM ŚRODKÓW WYŻEJ WYMIENIONYCH (F10-F18) I INNYCH ŚRODKÓW PSYCHOAKTYWNYCH</t>
  </si>
  <si>
    <t>F70</t>
  </si>
  <si>
    <t>UPOŚLEDZENIE UMYSŁOWE LEKKIE</t>
  </si>
  <si>
    <t>F39</t>
  </si>
  <si>
    <t>ZABURZENIA NASTROJU (AFEKTYWNE), NIEOKREŚLONE</t>
  </si>
  <si>
    <t>F40</t>
  </si>
  <si>
    <t>ZABURZENIA LĘKOWE W POSTACI FOBII</t>
  </si>
  <si>
    <t>F01</t>
  </si>
  <si>
    <t>OTĘPIENIE NACZYNIOWE</t>
  </si>
  <si>
    <t>F13</t>
  </si>
  <si>
    <t>ZABURZENIA PSYCHICZNE I ZABURZENIA ZACHOWANIA SPOWODOWANE PRZYJMOWANIEM SUBSTANCJI NASENNYCH I USPOKAJAJĄCYCH</t>
  </si>
  <si>
    <t>F92</t>
  </si>
  <si>
    <t>MIESZANE ZABURZENIA ZACHOWANIA I EMOCJI</t>
  </si>
  <si>
    <t>F61</t>
  </si>
  <si>
    <t>ZABURZENIA OSOBOWOŚCI MIESZANE I INNE</t>
  </si>
  <si>
    <t>F50</t>
  </si>
  <si>
    <t>ZABURZENIA ODŻYWIANIA</t>
  </si>
  <si>
    <t>F22</t>
  </si>
  <si>
    <t>UPORCZYWE ZABURZENIE UROJENIOWE</t>
  </si>
  <si>
    <t>F72</t>
  </si>
  <si>
    <t>UPOŚLEDZENIE UMYSŁOWE ZNACZNE</t>
  </si>
  <si>
    <t>F90</t>
  </si>
  <si>
    <t>ZABURZENIE HIPERKINETYCZNE (ZESPOŁY NADPOBUDLIWOŚCI RUCHOWEJ)</t>
  </si>
  <si>
    <t>F25</t>
  </si>
  <si>
    <t>ZABURZENIA SCHIZOAFEKTYWNE</t>
  </si>
  <si>
    <t>F93</t>
  </si>
  <si>
    <t>ZABURZENIA EMOCJONALNE ROZPOCZYNAJĄCE SIĘ ZWYKLE W DZIECIŃSTWIE</t>
  </si>
  <si>
    <t>F23</t>
  </si>
  <si>
    <t>OSTRE I PRZEMIJAJĄCE ZABURZENIA PSYCHOTYCZNE</t>
  </si>
  <si>
    <t>F44</t>
  </si>
  <si>
    <t>ZABURZENIA DYSOCJACYJNE (KONWERSYJNE)</t>
  </si>
  <si>
    <t>F21</t>
  </si>
  <si>
    <t>ZABURZENIE TYPU SCHIZOFRENII (SCHIZOTYPOWE)</t>
  </si>
  <si>
    <t>F02</t>
  </si>
  <si>
    <t>OTĘPIENIE W INNYCH CHOROBACH, KLASYFIKOWANYCH GDZIE INDZIEJ</t>
  </si>
  <si>
    <t>F99</t>
  </si>
  <si>
    <t>ZABURZENIA PSYCHICZNE, INACZEJ NIEOKREŚLONE</t>
  </si>
  <si>
    <t>F63</t>
  </si>
  <si>
    <t>ZABURZENIA NAWYKÓW I POPĘDÓW (IMPULSÓW)</t>
  </si>
  <si>
    <t>F73</t>
  </si>
  <si>
    <t>UPOŚLEDZENIE UMYSŁOWE GŁĘBOKIE</t>
  </si>
  <si>
    <t>F11</t>
  </si>
  <si>
    <t>ZABURZENIA PSYCHICZNE I ZABURZENIA ZACHOWANIA SPOWODOWANE UŻYWANIEM OPIATÓW</t>
  </si>
  <si>
    <t>F91</t>
  </si>
  <si>
    <t>ZABURZENIA ZACHOWANIA</t>
  </si>
  <si>
    <t>F12</t>
  </si>
  <si>
    <t>ZABURZENIA PSYCHICZNE I ZABURZENIA ZACHOWANIA SPOWODOWANE UŻYWANIEM KANABINOLI</t>
  </si>
  <si>
    <t>F95</t>
  </si>
  <si>
    <t>TIKI</t>
  </si>
  <si>
    <t>F94</t>
  </si>
  <si>
    <t>ZABURZENIA FUNKCJONOWANIA SPOŁECZNEGO ROZPOCZYNAJĄCE SIĘ ZWYKLE W DZIECIŃSTWIE LUB W WIEKU MŁODZIEŃCZYM</t>
  </si>
  <si>
    <t>F98</t>
  </si>
  <si>
    <t>INNE ZABURZENIA ZACHOWANIA I EMOCJI ROZPOCZYNAJĄCE SIĘ ZWYKLE W DZIECIŃSTWIE I W WIEKU MŁODZIEŃCZYM</t>
  </si>
  <si>
    <t>F09</t>
  </si>
  <si>
    <t>NIEOKREŚLONE ZABURZENIA PSYCHICZNE ORGANICZNE LUB OBJAWOWE</t>
  </si>
  <si>
    <t>F79</t>
  </si>
  <si>
    <t>UPOŚLEDZENIE UMYSŁOWE, NIEOKREŚLONE</t>
  </si>
  <si>
    <t>F15</t>
  </si>
  <si>
    <t>ZABURZENIA PSYCHICZNE I ZABURZENIA ZACHOWANIA SPOWODOWANE UŻYWANIEM INNYCH NIŻ KOKAINA ŚRODKÓW POBUDZAJĄCYCH W TYM KOFEINY</t>
  </si>
  <si>
    <t>F29</t>
  </si>
  <si>
    <t>NIEOKREŚLONA PSYCHOZA NIEORGANICZNA</t>
  </si>
  <si>
    <t>F05</t>
  </si>
  <si>
    <t>MAJACZENIE NIE WYWOŁANE ALKOHOLEM I INNYMI SUBSTANCJAMI PSYCHOAKTYWNYMI</t>
  </si>
  <si>
    <t>F64</t>
  </si>
  <si>
    <t>ZABURZENIA IDENTYFIKACJI PŁCIOWEJ</t>
  </si>
  <si>
    <t>F28</t>
  </si>
  <si>
    <t>INNE NIEORGANICZNE ZABURZENIA PSYCHOTROPOWE</t>
  </si>
  <si>
    <t>F53</t>
  </si>
  <si>
    <t>ZABURZENIA PSYCHICZNE ZWIĄZANE Z PORODEM, NIESKLASYFIKOWANE GDZIE INDZIEJ</t>
  </si>
  <si>
    <t>F52</t>
  </si>
  <si>
    <t>DYSFUNKCJA SEKSUALNA NIE SPOWODOWANA ZABURZENIEM ORGANICZNYM ANI CHOROBĄ SOMATYCZNĄ</t>
  </si>
  <si>
    <t>F17</t>
  </si>
  <si>
    <t>ZABURZENIA PSYCHICZNE I ZABURZENIA ZACHOWANIA SPOWODOWANE PALENIEM TYTONIU</t>
  </si>
  <si>
    <t>F04</t>
  </si>
  <si>
    <t>ORGANICZNY ZESPÓŁ AMNESTYCZNY NIE WYWOŁANY ALKOHOLEM I INNYMI SUBSTANCJAMI PSYCHOAKTYWNYMI</t>
  </si>
  <si>
    <t>F30</t>
  </si>
  <si>
    <t>EPIZOD MANIAKALNY</t>
  </si>
  <si>
    <t>F69</t>
  </si>
  <si>
    <t>ZABURZENIA OSOBOWOŚCI I ZACHOWANIA U DOROSŁYCH, NIEOKREŚLONE</t>
  </si>
  <si>
    <t>F81</t>
  </si>
  <si>
    <t>SPECYFICZNE ZABURZENIA ROZWOJU UMIEJĘTNOŚCI SZKOLNYCH</t>
  </si>
  <si>
    <t>F65</t>
  </si>
  <si>
    <t>ZABURZENIA PREFERENCJI SEKSUALNYCH</t>
  </si>
  <si>
    <t>F68</t>
  </si>
  <si>
    <t>INNE ZABURZENIA OSOBOWOŚCI I ZACHOWANIA U DOROSŁYCH</t>
  </si>
  <si>
    <t>F62</t>
  </si>
  <si>
    <t>TRWAŁE ZMIANY OSOBOWOŚCI NIE WYNIKAJĄCE Z USZKODZENIA ANI Z CHOROBY MÓZGU</t>
  </si>
  <si>
    <t>F78</t>
  </si>
  <si>
    <t>INNE UPOŚLEDZENIE UMYSŁOWE</t>
  </si>
  <si>
    <t>F80</t>
  </si>
  <si>
    <t>SPECYFICZNE ZABURZENIA ROZWOJU MOWY I JĘZYKA</t>
  </si>
  <si>
    <t>F88</t>
  </si>
  <si>
    <t>INNE ZABURZENIA ROZWOJU PSYCHICZNEGO (PSYCHOLOGICZNEGO)</t>
  </si>
  <si>
    <t>F54</t>
  </si>
  <si>
    <t>CZYNNIKI PSYCHOLOGICZNE I BEHAWIORALNE ZWIĄZANE Z ZABURZENIAMI LUB CHOROBAMI KLASYFIKOWANYMI W INNYCH ROZDZIAŁACH</t>
  </si>
  <si>
    <t>Wykres 2.22: Recepty na refundowane leki przeciwdepresyjne a świadczenia udzielone z powodu zaburzeń psychicznych (F00-F99)</t>
  </si>
  <si>
    <t/>
  </si>
  <si>
    <t>w tym, spośród 'nie miało', świadczenie z rozpoznaniem głównym F00-F99 w 2022 r.:</t>
  </si>
  <si>
    <t>w tym, spośród 'nie miało', świadczenie z rozpoznaniem głównym F00-F99 w 2021 r.:</t>
  </si>
  <si>
    <t>w tym, spośród 'nie miało', świadczenie z rozpoznaniem głównym F00-F99 w 2020 r.:</t>
  </si>
  <si>
    <t xml:space="preserve">miało: </t>
  </si>
  <si>
    <t xml:space="preserve">nie miało: </t>
  </si>
  <si>
    <t>Tabela 2.21: Informacje o realizacji recept na leki przeciwdepresyjne (refundowane i nierefundowane przez NFZ) (2019-2023)</t>
  </si>
  <si>
    <t>Liczba opakowań (w tys.)</t>
  </si>
  <si>
    <t>Udział opakowań z danym roku z daną substacją</t>
  </si>
  <si>
    <t>Sertralinum</t>
  </si>
  <si>
    <t>Escitalopramum</t>
  </si>
  <si>
    <t>Venlafaxinum</t>
  </si>
  <si>
    <t>Opipramolum</t>
  </si>
  <si>
    <t>Trazodoni hydrochloridum</t>
  </si>
  <si>
    <t>Citalopramum</t>
  </si>
  <si>
    <t>Mianserini hydrochloridum</t>
  </si>
  <si>
    <t>Fluoxetinum</t>
  </si>
  <si>
    <t>Paroxetinum</t>
  </si>
  <si>
    <t>Tianeptinum natricum</t>
  </si>
  <si>
    <t>Duloxetinum</t>
  </si>
  <si>
    <t>Źródło: Żródło: opracowanie własne na podstawie danych CeZ</t>
  </si>
  <si>
    <t>Wykres 2.23a: Struktura wieku pacjentów realizujących recepty na leki przeciwdepresyjne— leki refundowane i nierefundowane (2019-2023)</t>
  </si>
  <si>
    <t>Rok realizacji</t>
  </si>
  <si>
    <t>&lt;18</t>
  </si>
  <si>
    <t>75-84</t>
  </si>
  <si>
    <t>b.d.</t>
  </si>
  <si>
    <t>Wykres 2.23b: Struktura płci pacjentów realizujących recepty na leki przeciwdepresyjne— leki refundowane i nierefundowane (2019-2023)</t>
  </si>
  <si>
    <t>Mężyczyźni</t>
  </si>
  <si>
    <t>Wykres 2.24a: Liczba opakowań na osobę ze względu na grupy wiekowe dla leków przeciwdepresyjnych — leki refundowane i nierefundowane (2019-2023)</t>
  </si>
  <si>
    <t>Liczba opakowań</t>
  </si>
  <si>
    <t>Liczba opakowań na pacjenta</t>
  </si>
  <si>
    <t>Wykres 2.24b: Liczba opakowań na osobę ze względu na płeć dla leków przeciwdepresyjnych — leki refundowane i nirefundowane (2019-2023)</t>
  </si>
  <si>
    <t>Wykres 2.25: Struktura liczby opakowań wg poziomów odpłatności pacjenta dla leków przeciwdepresyjnych—leki refundowane i nierefundowane (2019-2023)</t>
  </si>
  <si>
    <t>Stopień odpłatności pacjenta</t>
  </si>
  <si>
    <t>Procent opakowań z danym stopniem odpłatności w danym roku</t>
  </si>
  <si>
    <t>100%, lek nie był na liście refundacyjnej</t>
  </si>
  <si>
    <t>100%, lek  był na liście refundacyjnej</t>
  </si>
  <si>
    <t>Refundowane</t>
  </si>
  <si>
    <t>Tabela 2.21a: Realizacja recept na leki przeciwdepresyjne (refundowane i nierefundowane przez NFZ) wg dziesięciu najczęściej występujących substancji czynnych w danym roku (2019-2023)</t>
  </si>
  <si>
    <t>Odsetek opakowań z danym roku z daną substacją</t>
  </si>
  <si>
    <t>Wykres 2.26: Rozkład wieku pacjentów wybranych do analizy ciągłości farmakoterapii refundowanymi lekami przeciwdepresyjnym na przykładzie sertralinum – pacjenci rozpoczynający terapię substancją sertralinum w 2022 r.</t>
  </si>
  <si>
    <t>Analizę tego, w jakim stopniu pacjenci realizują założenia terapii farmakologicznej w leczeniu epizodów depresji, wykonano na grupie pacjentów, którzy w 2020 roku zrealizowali co najmniej jedną receptę na lek refundowany z substancją czynną sertralinum, a w 2019 roku nie zrealizowali ani jednej recepty na lek refundowany z tą substancją. Okres obserwacji pacjentów trwał od daty realizacji pierwszej recepty w 2020 roku do końca 2021 roku</t>
  </si>
  <si>
    <t xml:space="preserve"> Z analizy wyłączono osoby, które zmarły w ciągu 180 dni od realizacji pierwszej recepty na refundowany lek antydepresyjny. Ponadto z analizy wykluczono również pacjentów, którzy w czasie obserwacji, czyli od realizacji pierwszej recepty do końca okresu obserwacji zrealizowali receptę na lek przeciwdepresyjny z grupy SSRI z inną substancją czynną niż sertralinum</t>
  </si>
  <si>
    <t>Tabela 2.22: Mediana długości leczenia lekiem refundowanym z substancją czynną sertralinum (czas pomiędzy datą realizacji pierwszej recepty a datą zakończenia terapii) oraz odsetek osób, dla których długość leczenia wynosiła co najmniej 180 dni wg grup wiekowych</t>
  </si>
  <si>
    <t>Liczba osób (tys.)</t>
  </si>
  <si>
    <t>Odsetek w analizowanej populacji</t>
  </si>
  <si>
    <t>Mediana długości leczenia</t>
  </si>
  <si>
    <t>Nowi</t>
  </si>
  <si>
    <t>Powracający</t>
  </si>
  <si>
    <t>Ogółem</t>
  </si>
  <si>
    <t>Wykres 2.27: Długość trwania farmakoterapii refundowanymi lekami przeciwdepresyjnymi zawierającymi substancję czynną sertralinum wg grup wiekowych</t>
  </si>
  <si>
    <t>Kategoria</t>
  </si>
  <si>
    <t>mniej niż 180 dni</t>
  </si>
  <si>
    <t>180-269 dni</t>
  </si>
  <si>
    <t>270-359 dni</t>
  </si>
  <si>
    <t>co najmniej 360 dni</t>
  </si>
  <si>
    <t>Tabela 2.23: Długość trwania farmakoterapii refundowanymi lekami przeciwdepresyjnymi zawierającymi substancję czynną sertralinum wg grup wiekowych</t>
  </si>
  <si>
    <t>Odsetek osób, dla których leczenie trwało krócej niż 180 dni</t>
  </si>
  <si>
    <t>Odsetek osób, dla których leczenie trwało 180-269 dni</t>
  </si>
  <si>
    <t>Odsetek osób, dla których leczenie trwało 270-359 dni</t>
  </si>
  <si>
    <t>Odsetek osób, dla których leczenie trwało co najmniej 360 dni</t>
  </si>
  <si>
    <t>Wykres 2.28: Odsetki pacjentów, których farmakoterapia lekami refundowanymi z substancją sertralinum trwała co najmniej 180 dni według województw</t>
  </si>
  <si>
    <t>Wykres 2.29: Wskaźnik proporcji pokrycia dni (PDC, ang. proportion of days covered) lekami refundowanymi z sertralinum wg grup wiekowych</t>
  </si>
  <si>
    <t>PDC</t>
  </si>
  <si>
    <t>0-49%</t>
  </si>
  <si>
    <t>50-79%</t>
  </si>
  <si>
    <t>80-99%</t>
  </si>
  <si>
    <t>100%</t>
  </si>
  <si>
    <t>Tabela 2.24: Wskaźnik proporcji pokrycia dni (PDC, ang. proportion of days covered) lekami refundowanymi z sertralinum wg grup wiekowych</t>
  </si>
  <si>
    <t>PDC 0-49%</t>
  </si>
  <si>
    <t>PDC 50-79%</t>
  </si>
  <si>
    <t>PDC 80-99%</t>
  </si>
  <si>
    <t>PDC 100%</t>
  </si>
  <si>
    <t>Wykres 3.1: Liczba zwolnień (w tys.) z tytułu choroby własnej z powodu dużej depresji—F32, F33 wg ICD-10 (2013–2023)</t>
  </si>
  <si>
    <t>Liczba zaświadczeń</t>
  </si>
  <si>
    <t>Źródło: opracowanie własne na podstawie danych ZUS</t>
  </si>
  <si>
    <t>Wykres 3.2: Liczba dni (w mln) zwolnień lekarskich z tytułu choroby własnej z powodu dużej depresji—F32, F33 wg ICD-10 (2013–2023)</t>
  </si>
  <si>
    <t>Liczba dni</t>
  </si>
  <si>
    <t>Wykres 3.3: Średnia długość zwolnienia (w dniach) z tytułu choroby własnej z powodu depresji—F32, F33 wg ICD-10 (2013–2023)</t>
  </si>
  <si>
    <t>Średnia długość zwolnienia (w dniach)</t>
  </si>
  <si>
    <t>Wykres 3.4: Odsetek orzeczeń z rozpoznaniem dużej depresji (F32, F33 wg ICD-10) wg kategorii stopnia niezdolności do pracy—kobiety (2013–2023)</t>
  </si>
  <si>
    <t>Stopień niezdolności</t>
  </si>
  <si>
    <t>Częściowa niezdolność do pracy</t>
  </si>
  <si>
    <t>Całkowita niezdolność do pracy</t>
  </si>
  <si>
    <t>Niezdolność do samodzielnej egzystencji</t>
  </si>
  <si>
    <t>Wykres 3.5: Odsetek orzeczeń z rozpoznaniem dużej depresji (F32, F33 wg ICD-10) wg kategorii stopnia niezdolności do pracy—mężczyźni (2013–2023)</t>
  </si>
  <si>
    <t>Tabela 3.1: Liczba wystawionych orzeczeń z powodu ciężkiej depresji (F32, F33 wg ICD-10) w celach rentowych wg stopnia niezdolności do pracy (2013–2023)</t>
  </si>
  <si>
    <t>Łącznie</t>
  </si>
  <si>
    <t>Wykres 3.6: Liczba ponownych orzeczeń o niezdolności do pracy z powodu dużej depresji (F32, F33 wg ICD-10) wystawionych dla celów rentowych wg płci (2013–2023)</t>
  </si>
  <si>
    <t>Liczba orzeczeń</t>
  </si>
  <si>
    <t>Wykres 3.7: Liczba orzeczeń z rozpoznaniem dużej depresji (F32, F33 wg ICD-10) wg kategorii stopnia niezdolności do pracy—kobiety (2013–2023)</t>
  </si>
  <si>
    <t>Wykres 3.8: Liczba orzeczeń z rozpoznaniem dużej depresji (F32, F33 wg ICD-10) wg kategorii stopnia niezdolności do pracy—mężczyźni (2013–2023)</t>
  </si>
  <si>
    <t>Spośród 1 740 668 osób, którzy w 2023 zrealizowali refundowaną receptę na leki przeciwdepresyjne, świadczenie z rozpoznaniem głównym F00-F99 w 2023 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</si>
</sst>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#,##0.0"/>
    <numFmt numFmtId="166" formatCode="_-* #,##0.0_-;\-* #,##0.0_-;_-* &quot;-&quot;??_-;_-@_-"/>
    <numFmt numFmtId="168" formatCode="_-* #,##0_-;\-* #,##0_-;_-* &quot;-&quot;??_-;_-@_-"/>
  </numFmts>
  <fonts count="5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2">
    <xf numFmtId="0" fontId="0" fillId="0" borderId="0" xfId="0"/>
    <xf numFmtId="164" fontId="1" fillId="0" borderId="0" xfId="0" applyNumberFormat="1" applyFont="1"/>
    <xf numFmtId="0" fontId="1" fillId="0" borderId="1" xfId="0" applyFont="1" applyBorder="1"/>
    <xf numFmtId="164" fontId="1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1" fillId="0" borderId="6" xfId="0" applyNumberFormat="1" applyFont="1" applyBorder="1"/>
    <xf numFmtId="0" fontId="1" fillId="0" borderId="7" xfId="0" applyFont="1" applyBorder="1"/>
    <xf numFmtId="164" fontId="1" fillId="0" borderId="8" xfId="0" applyNumberFormat="1" applyFont="1" applyBorder="1"/>
    <xf numFmtId="0" fontId="1" fillId="0" borderId="6" xfId="0" applyFont="1" applyBorder="1"/>
    <xf numFmtId="0" fontId="3" fillId="0" borderId="0" xfId="0" applyFont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0" fontId="1" fillId="0" borderId="2" xfId="0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0" fontId="1" fillId="0" borderId="8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4" fontId="1" fillId="0" borderId="2" xfId="0" applyNumberFormat="1" applyFont="1" applyBorder="1"/>
    <xf numFmtId="165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4" fontId="1" fillId="0" borderId="2" xfId="0" applyNumberFormat="1" applyFont="1" applyBorder="1"/>
    <xf numFmtId="165" fontId="1" fillId="0" borderId="6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1" fillId="0" borderId="2" xfId="0" applyNumberFormat="1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2" xfId="0" applyNumberFormat="1" applyFont="1" applyBorder="1"/>
    <xf numFmtId="165" fontId="1" fillId="0" borderId="6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0" xfId="0" applyNumberFormat="1" applyFont="1"/>
    <xf numFmtId="3" fontId="1" fillId="0" borderId="6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5" fontId="1" fillId="0" borderId="2" xfId="0" applyNumberFormat="1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5" fontId="1" fillId="0" borderId="6" xfId="0" applyNumberFormat="1" applyFont="1" applyBorder="1"/>
    <xf numFmtId="164" fontId="1" fillId="0" borderId="6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9" fontId="0" fillId="0" borderId="0" xfId="2" applyFont="1"/>
    <xf numFmtId="9" fontId="1" fillId="0" borderId="6" xfId="2" applyFont="1" applyBorder="1"/>
    <xf numFmtId="164" fontId="0" fillId="0" borderId="0" xfId="2" applyNumberFormat="1" applyFont="1"/>
    <xf numFmtId="164" fontId="1" fillId="0" borderId="6" xfId="2" applyNumberFormat="1" applyFont="1" applyBorder="1"/>
    <xf numFmtId="43" fontId="0" fillId="0" borderId="0" xfId="1" applyFont="1"/>
    <xf numFmtId="43" fontId="1" fillId="0" borderId="6" xfId="1" applyFont="1" applyBorder="1"/>
    <xf numFmtId="166" fontId="0" fillId="0" borderId="0" xfId="1" applyNumberFormat="1" applyFont="1"/>
    <xf numFmtId="166" fontId="1" fillId="0" borderId="6" xfId="1" applyNumberFormat="1" applyFont="1" applyBorder="1"/>
    <xf numFmtId="43" fontId="1" fillId="0" borderId="2" xfId="1" applyFont="1" applyBorder="1"/>
    <xf numFmtId="43" fontId="1" fillId="0" borderId="8" xfId="1" applyFont="1" applyBorder="1"/>
    <xf numFmtId="166" fontId="1" fillId="0" borderId="2" xfId="1" applyNumberFormat="1" applyFont="1" applyBorder="1"/>
    <xf numFmtId="166" fontId="1" fillId="0" borderId="8" xfId="1" applyNumberFormat="1" applyFont="1" applyBorder="1"/>
    <xf numFmtId="9" fontId="1" fillId="0" borderId="2" xfId="2" applyFont="1" applyBorder="1"/>
    <xf numFmtId="9" fontId="1" fillId="0" borderId="8" xfId="2" applyFont="1" applyBorder="1"/>
    <xf numFmtId="2" fontId="0" fillId="0" borderId="0" xfId="0" applyNumberFormat="1"/>
    <xf numFmtId="2" fontId="1" fillId="0" borderId="2" xfId="0" applyNumberFormat="1" applyFon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166" fontId="2" fillId="2" borderId="5" xfId="1" applyNumberFormat="1" applyFont="1" applyFill="1" applyBorder="1"/>
    <xf numFmtId="166" fontId="1" fillId="0" borderId="0" xfId="1" applyNumberFormat="1" applyFont="1"/>
    <xf numFmtId="168" fontId="0" fillId="0" borderId="0" xfId="1" applyNumberFormat="1" applyFont="1"/>
    <xf numFmtId="168" fontId="1" fillId="0" borderId="2" xfId="1" applyNumberFormat="1" applyFont="1" applyBorder="1"/>
    <xf numFmtId="168" fontId="1" fillId="0" borderId="6" xfId="1" applyNumberFormat="1" applyFont="1" applyBorder="1"/>
    <xf numFmtId="168" fontId="1" fillId="0" borderId="8" xfId="1" applyNumberFormat="1" applyFont="1" applyBorder="1"/>
    <xf numFmtId="9" fontId="2" fillId="2" borderId="3" xfId="2" applyFont="1" applyFill="1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3810000" cy="508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6550" y="361950"/>
          <a:ext cx="3810000" cy="50800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682485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72293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72293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64933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6438935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682485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581026</xdr:colOff>
      <xdr:row>1</xdr:row>
      <xdr:rowOff>152400</xdr:rowOff>
    </xdr:from>
    <xdr:ext cx="4476750" cy="255717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6" y="333375"/>
          <a:ext cx="4476750" cy="2557176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66676</xdr:colOff>
      <xdr:row>1</xdr:row>
      <xdr:rowOff>0</xdr:rowOff>
    </xdr:from>
    <xdr:ext cx="5181600" cy="287907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0976" y="180975"/>
          <a:ext cx="5181600" cy="2879073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38101</xdr:colOff>
      <xdr:row>1</xdr:row>
      <xdr:rowOff>85725</xdr:rowOff>
    </xdr:from>
    <xdr:ext cx="4819650" cy="267796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2401" y="266700"/>
          <a:ext cx="4819650" cy="2677961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91163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3808800" cy="50784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6550" y="361950"/>
          <a:ext cx="3808800" cy="50784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138724" cy="345757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361950"/>
          <a:ext cx="4138724" cy="3457575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314825" cy="360469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0" y="361950"/>
          <a:ext cx="4314825" cy="3604693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587551" cy="2981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4975" y="361950"/>
          <a:ext cx="4587551" cy="2981325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685800</xdr:colOff>
      <xdr:row>0</xdr:row>
      <xdr:rowOff>139700</xdr:rowOff>
    </xdr:from>
    <xdr:ext cx="4486275" cy="291550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139700"/>
          <a:ext cx="4486275" cy="2915509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020858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468892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627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484576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114800" cy="334368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5" y="361950"/>
          <a:ext cx="4114800" cy="3343683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5316274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4210050" cy="342108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1025" y="361950"/>
          <a:ext cx="4210050" cy="3421083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162425" cy="338238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9975" y="361950"/>
          <a:ext cx="4162425" cy="3382383"/>
        </a:xfrm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615951</xdr:colOff>
      <xdr:row>1</xdr:row>
      <xdr:rowOff>57150</xdr:rowOff>
    </xdr:from>
    <xdr:ext cx="3346449" cy="2230572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3551" y="238125"/>
          <a:ext cx="3346449" cy="2230572"/>
        </a:xfrm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7681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086225" cy="341371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361950"/>
          <a:ext cx="4086225" cy="3413716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7681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981575" cy="284553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5" y="361950"/>
          <a:ext cx="4981575" cy="2845538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600076</xdr:colOff>
      <xdr:row>1</xdr:row>
      <xdr:rowOff>57151</xdr:rowOff>
    </xdr:from>
    <xdr:ext cx="4982400" cy="284600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26" y="238126"/>
          <a:ext cx="4982400" cy="28460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761999</xdr:colOff>
      <xdr:row>1</xdr:row>
      <xdr:rowOff>180974</xdr:rowOff>
    </xdr:from>
    <xdr:ext cx="2752725" cy="500495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824" y="361949"/>
          <a:ext cx="2752725" cy="5004955"/>
        </a:xfrm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1</xdr:rowOff>
    </xdr:from>
    <xdr:ext cx="4982400" cy="284600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361951"/>
          <a:ext cx="4982400" cy="2846009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981863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754000" cy="500727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29825" y="361950"/>
          <a:ext cx="2754000" cy="500727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3467100" cy="48551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3875" y="361950"/>
          <a:ext cx="3467100" cy="4855114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649772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171049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7682485" cy="432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1"/>
  <sheetViews>
    <sheetView tabSelected="1" workbookViewId="0"/>
  </sheetViews>
  <sheetFormatPr defaultColWidth="10.90625" defaultRowHeight="14.5" x14ac:dyDescent="0.35"/>
  <sheetData>
    <row r="1" spans="1:1" x14ac:dyDescent="0.35">
      <c r="A1" s="11" t="str">
        <f>HYPERLINK("#'Wykres 1.1a'!A1", "Wykres 1.1a: Odsetek osób chorych na depresję (F32, F33, F34.1 wg ICD-10) w wybranych krajach europejskich w roku 2014 i 2019")</f>
        <v>Wykres 1.1a: Odsetek osób chorych na depresję (F32, F33, F34.1 wg ICD-10) w wybranych krajach europejskich w roku 2014 i 2019</v>
      </c>
    </row>
    <row r="2" spans="1:1" x14ac:dyDescent="0.35">
      <c r="A2" s="11" t="str">
        <f>HYPERLINK("#'Wykres 1.1b'!A1", "Wykres 1.1b: Standaryzowany wiekiem odsetek osób chorych na depresję (F32, F33, F34.1 wg ICD-10) w wybranych krajach europejskich w roku 2014 i 2019")</f>
        <v>Wykres 1.1b: Standaryzowany wiekiem odsetek osób chorych na depresję (F32, F33, F34.1 wg ICD-10) w wybranych krajach europejskich w roku 2014 i 2019</v>
      </c>
    </row>
    <row r="3" spans="1:1" x14ac:dyDescent="0.35">
      <c r="A3" s="11" t="str">
        <f>HYPERLINK("#'Wykres 1.2'!A1", "Wykres 1.2: Liczba osób chorych na depresję (F32, F33, F34.1 wg ICD-10) w Polsce (2000-2019) jako odsetek ludności (lewy wykres) i w wartościach bezwzględnych (prawy wykres)")</f>
        <v>Wykres 1.2: Liczba osób chorych na depresję (F32, F33, F34.1 wg ICD-10) w Polsce (2000-2019) jako odsetek ludności (lewy wykres) i w wartościach bezwzględnych (prawy wykres)</v>
      </c>
    </row>
    <row r="4" spans="1:1" x14ac:dyDescent="0.35">
      <c r="A4" s="11" t="str">
        <f>HYPERLINK("#'Wykres 1.3a'!A1", "Wykres 1.3a: Odsetek osób chorych na depresję (F32, F33, F34.1 wg ICD-10) w wybranych krajach europejskich – kobiety (2019)")</f>
        <v>Wykres 1.3a: Odsetek osób chorych na depresję (F32, F33, F34.1 wg ICD-10) w wybranych krajach europejskich – kobiety (2019)</v>
      </c>
    </row>
    <row r="5" spans="1:1" x14ac:dyDescent="0.35">
      <c r="A5" s="11" t="str">
        <f>HYPERLINK("#'Wykres 1.3b'!A1", "Wykres 1.3b: Odsetek osób chorych na depresję (F32, F33, F34.1 wg ICD-10) w wybranych krajach europejskich – mężczyźni (2019)")</f>
        <v>Wykres 1.3b: Odsetek osób chorych na depresję (F32, F33, F34.1 wg ICD-10) w wybranych krajach europejskich – mężczyźni (2019)</v>
      </c>
    </row>
    <row r="6" spans="1:1" x14ac:dyDescent="0.35">
      <c r="A6" s="11" t="str">
        <f>HYPERLINK("#'Wykres 1.4'!A1", "Wykres 1.4: Udział DALY (utracone lata życia z powodu choroby skorygowane niesprawnością) z powodu depresji (F32, F33, F34.1 wg ICD-10) wśród DALY z powodu wszystkich chorób w wybranych krajach europejskich (2019)")</f>
        <v>Wykres 1.4: Udział DALY (utracone lata życia z powodu choroby skorygowane niesprawnością) z powodu depresji (F32, F33, F34.1 wg ICD-10) wśród DALY z powodu wszystkich chorób w wybranych krajach europejskich (2019)</v>
      </c>
    </row>
    <row r="7" spans="1:1" x14ac:dyDescent="0.35">
      <c r="A7" s="11" t="str">
        <f>HYPERLINK("#'Tabela 2.1'!A1", "Tabela 2.1: Struktura wieku i płci pacjentów, którym udzielono świadczenia z rozpoznaniem głównym lub współistniejącym depresji—F31.3–F31.6, F32, F33, F34.1, F34.8, F34.9, F38, F39 (2013–2023)")</f>
        <v>Tabela 2.1: Struktura wieku i płci pacjentów, którym udzielono świadczenia z rozpoznaniem głównym lub współistniejącym depresji—F31.3–F31.6, F32, F33, F34.1, F34.8, F34.9, F38, F39 (2013–2023)</v>
      </c>
    </row>
    <row r="8" spans="1:1" x14ac:dyDescent="0.35">
      <c r="A8" s="11" t="str">
        <f>HYPERLINK("#'Wykres 2.1'!A1", "Wykres 2.1: Liczba osób, którym udzielono świadczenia z rozpoznaniem depresji (F31.3–F31.6, F32, F33, F34.1, F34.8, F34.9, F38, F39 wg ICD-10, głównym lub współistniejącym) wg grup wiekowych oraz płci (2023)")</f>
        <v>Wykres 2.1: Liczba osób, którym udzielono świadczenia z rozpoznaniem depresji (F31.3–F31.6, F32, F33, F34.1, F34.8, F34.9, F38, F39 wg ICD-10, głównym lub współistniejącym) wg grup wiekowych oraz płci (2023)</v>
      </c>
    </row>
    <row r="9" spans="1:1" x14ac:dyDescent="0.35">
      <c r="A9" s="11" t="str">
        <f>HYPERLINK("#'Wykres 2.2'!A1", "Wykres 2.2: Odsetek osób, którym udzielono świadczenia z rozpoznaniem depresji (F31.3–F31.6, F32, F33, F34.1, F34.8, F34.9, F38, F39 wg ICD-10, głównym lub współistniejącym) wg województwa zamieszkania wśród ludności województwa (2023)")</f>
        <v>Wykres 2.2: Odsetek osób, którym udzielono świadczenia z rozpoznaniem depresji (F31.3–F31.6, F32, F33, F34.1, F34.8, F34.9, F38, F39 wg ICD-10, głównym lub współistniejącym) wg województwa zamieszkania wśród ludności województwa (2023)</v>
      </c>
    </row>
    <row r="10" spans="1:1" x14ac:dyDescent="0.35">
      <c r="A10" s="11" t="str">
        <f>HYPERLINK("#'Tabela 2.2'!A1", "Tabela 2.2: Liczba pacjentów, którym udzielono świadczenia z rozpoznaniem głównym depresji (F31.3–F31.6, F32, F33, F34.1, F34.8, F34.9, F38, F39 wg ICD-10) wg rodzajów świadczeń")</f>
        <v>Tabela 2.2: Liczba pacjentów, którym udzielono świadczenia z rozpoznaniem głównym depresji (F31.3–F31.6, F32, F33, F34.1, F34.8, F34.9, F38, F39 wg ICD-10) wg rodzajów świadczeń</v>
      </c>
    </row>
    <row r="11" spans="1:1" x14ac:dyDescent="0.35">
      <c r="A11" s="11" t="str">
        <f>HYPERLINK("#'Wykres 2.3'!A1", "Wykres 2.3: Liczba pacjentów, którym udzielono świadczenia z rozpoznaniem głównym depresji (F31.3–F31.6, F32, F33, F34.1, F34.8, F34.9, F38, F39 wg ICD-10) wg najczęstszych rodzajów świadczeń—niepełnoletni (2013–2023)")</f>
        <v>Wykres 2.3: Liczba pacjentów, którym udzielono świadczenia z rozpoznaniem głównym depresji (F31.3–F31.6, F32, F33, F34.1, F34.8, F34.9, F38, F39 wg ICD-10) wg najczęstszych rodzajów świadczeń—niepełnoletni (2013–2023)</v>
      </c>
    </row>
    <row r="12" spans="1:1" x14ac:dyDescent="0.35">
      <c r="A12" s="11" t="str">
        <f>HYPERLINK("#'Wykres 2.4'!A1", "Wykres 2.4: Liczba pacjentów, którym udzielono świadczenia z rozpoznaniem głównym depresji (F31.3–F31.6, F32, F33, F34.1, F34.8, F34.9, F38, F39 wg ICD-10) wg najczęstszych rodzajów świadczeń—dorośli (2013–2023)")</f>
        <v>Wykres 2.4: Liczba pacjentów, którym udzielono świadczenia z rozpoznaniem głównym depresji (F31.3–F31.6, F32, F33, F34.1, F34.8, F34.9, F38, F39 wg ICD-10) wg najczęstszych rodzajów świadczeń—dorośli (2013–2023)</v>
      </c>
    </row>
    <row r="13" spans="1:1" x14ac:dyDescent="0.35">
      <c r="A13" s="11" t="str">
        <f>HYPERLINK("#'Tabela 2.3'!A1", "Tabela 2.3: Pacjenci, którym udzielono świadczenia w podstawowej opiece zdrowotnej w związku z depresją—F31.3–F31.6, F32, F33, F34.1, F34.8, F34.9, F38, F39 wg ICD-10 (2013–2023)")</f>
        <v>Tabela 2.3: Pacjenci, którym udzielono świadczenia w podstawowej opiece zdrowotnej w związku z depresją—F31.3–F31.6, F32, F33, F34.1, F34.8, F34.9, F38, F39 wg ICD-10 (2013–2023)</v>
      </c>
    </row>
    <row r="14" spans="1:1" x14ac:dyDescent="0.35">
      <c r="A14" s="11" t="str">
        <f>HYPERLINK("#'Tabela 2.4'!A1", "Tabela 2.4: Liczba pacjentów, którym udzielono świadczenia z rozpoznaniem głównym depresji (F31.3–F31.6, F32, F33, F34.1, F34.8, F34.9, F38, F39 wg ICD-10) wg form opieki (2013–2023)")</f>
        <v>Tabela 2.4: Liczba pacjentów, którym udzielono świadczenia z rozpoznaniem głównym depresji (F31.3–F31.6, F32, F33, F34.1, F34.8, F34.9, F38, F39 wg ICD-10) wg form opieki (2013–2023)</v>
      </c>
    </row>
    <row r="15" spans="1:1" x14ac:dyDescent="0.35">
      <c r="A15" s="11" t="str">
        <f>HYPERLINK("#'Tabela 2.5'!A1", "Tabela 2.5: Świadczenia udzielone w podstawowej opiece zdrowotnej w związku z depresją— F31.3–F31.6, F32, F33, F34.1, F34.8, F34.9, F38, F39 wg ICD-10 (2013–2023)")</f>
        <v>Tabela 2.5: Świadczenia udzielone w podstawowej opiece zdrowotnej w związku z depresją— F31.3–F31.6, F32, F33, F34.1, F34.8, F34.9, F38, F39 wg ICD-10 (2013–2023)</v>
      </c>
    </row>
    <row r="16" spans="1:1" x14ac:dyDescent="0.35">
      <c r="A16" s="11" t="str">
        <f>HYPERLINK("#'Wykres 2.5'!A1", "Wykres 2.5: Zmiana procentowa liczby świadczeń w POZ, SOR/IP/ZRM i świadczeń w POZ z rozpoznaniem głównym Z76 i wystawioną receptą na leki przeciwd...")</f>
        <v>Wykres 2.5: Zmiana procentowa liczby świadczeń w POZ, SOR/IP/ZRM i świadczeń w POZ z rozpoznaniem głównym Z76 i wystawioną receptą na leki przeciwd...</v>
      </c>
    </row>
    <row r="17" spans="1:1" x14ac:dyDescent="0.35">
      <c r="A17" s="11" t="str">
        <f>HYPERLINK("#'Tabela 2.6'!A1", "Tabela 2.6: Świadczenia udzielone  z rozpoznaniem głównym depresji (F31.3–F31.6, F32, F33, F34.1, F34.8, F34.9, F38, F39 wg ICD-10) wg form opieki (2013–2023)")</f>
        <v>Tabela 2.6: Świadczenia udzielone  z rozpoznaniem głównym depresji (F31.3–F31.6, F32, F33, F34.1, F34.8, F34.9, F38, F39 wg ICD-10) wg form opieki (2013–2023)</v>
      </c>
    </row>
    <row r="18" spans="1:1" x14ac:dyDescent="0.35">
      <c r="A18" s="11" t="str">
        <f>HYPERLINK("#'Wykres 2.6'!A1", "Wykres 2.6: Zmiana procentowa liczby świadczeń w poradniach psychiatrycznych oraz osobodni na psychiatrycznych oddziałach szpitalnych, oddziałach d...")</f>
        <v>Wykres 2.6: Zmiana procentowa liczby świadczeń w poradniach psychiatrycznych oraz osobodni na psychiatrycznych oddziałach szpitalnych, oddziałach d...</v>
      </c>
    </row>
    <row r="19" spans="1:1" x14ac:dyDescent="0.35">
      <c r="A19" s="11" t="str">
        <f>HYPERLINK("#'Tabela 2.7'!A1", "Tabela 2.7: Świadczenia udzielone z rozpoznaniem głównym depresji (F31.3–F31.6, F32, F33, F34.1, F34.8, F34.9, F38, F39 wg ICD-10) w poradniach psychiatrycznych (2013–2023)")</f>
        <v>Tabela 2.7: Świadczenia udzielone z rozpoznaniem głównym depresji (F31.3–F31.6, F32, F33, F34.1, F34.8, F34.9, F38, F39 wg ICD-10) w poradniach psychiatrycznych (2013–2023)</v>
      </c>
    </row>
    <row r="20" spans="1:1" x14ac:dyDescent="0.35">
      <c r="A20" s="11" t="str">
        <f>HYPERLINK("#'Tabela 2.8'!A1", "Tabela 2.8: Struktura porad lekarskich udzielonych w poradniach psychiatrycznych z rozpoznaniem głównym depresji—F31.3–F31.6, F32, F33, F34.1, F34.8, F34.9, F38, F39 wg ICD-10 (2013–2023)")</f>
        <v>Tabela 2.8: Struktura porad lekarskich udzielonych w poradniach psychiatrycznych z rozpoznaniem głównym depresji—F31.3–F31.6, F32, F33, F34.1, F34.8, F34.9, F38, F39 wg ICD-10 (2013–2023)</v>
      </c>
    </row>
    <row r="21" spans="1:1" x14ac:dyDescent="0.35">
      <c r="A21" s="11" t="str">
        <f>HYPERLINK("#'Tabela 2.9'!A1", "Tabela 2.9: Odsetek pacjentów korzystających z rozpoznaniem głównym (F31.3–F31.6, F32, F33, F34.1, F34.8, F34.9, F38, F39 wg ICD-10) z poszczególnych form leczenia (2013–2023)")</f>
        <v>Tabela 2.9: Odsetek pacjentów korzystających z rozpoznaniem głównym (F31.3–F31.6, F32, F33, F34.1, F34.8, F34.9, F38, F39 wg ICD-10) z poszczególnych form leczenia (2013–2023)</v>
      </c>
    </row>
    <row r="22" spans="1:1" x14ac:dyDescent="0.35">
      <c r="A22" s="11" t="str">
        <f>HYPERLINK("#'Wykres 2.7'!A1", "Wykres 2.7: Liczba i udział pacjentów, którym udzielono świadczenie w POZ, opiece psychiatrycznej i leczeniu uzależnień lub pilotażu CZP z rozpoznaniem głównym depresji—F31.3–F31.6, F32, F33, F34.1, F34.8, F34.9, F38, F39 wg ICD-10 (2023)")</f>
        <v>Wykres 2.7: Liczba i udział pacjentów, którym udzielono świadczenie w POZ, opiece psychiatrycznej i leczeniu uzależnień lub pilotażu CZP z rozpoznaniem głównym depresji—F31.3–F31.6, F32, F33, F34.1, F34.8, F34.9, F38, F39 wg ICD-10 (2023)</v>
      </c>
    </row>
    <row r="23" spans="1:1" x14ac:dyDescent="0.35">
      <c r="A23" s="11" t="str">
        <f>HYPERLINK("#'Wykres 2.8'!A1", "Wykres 2.8: Kombinacje korzystania z form opieki w latach 2013–2023 przez pacjentów, którym w 2023 r. udzielono świadczenia z rozpoznaniem głównym depresji (F31.3–F31.6, F32, F33, F34.1, F34.8, F34.9, F38, F39 wg ICD-10)")</f>
        <v>Wykres 2.8: Kombinacje korzystania z form opieki w latach 2013–2023 przez pacjentów, którym w 2023 r. udzielono świadczenia z rozpoznaniem głównym depresji (F31.3–F31.6, F32, F33, F34.1, F34.8, F34.9, F38, F39 wg ICD-10)</v>
      </c>
    </row>
    <row r="24" spans="1:1" x14ac:dyDescent="0.35">
      <c r="A24" s="11" t="str">
        <f>HYPERLINK("#'Tabela 2.10'!A1", "Tabela 2.10: Wartość refundacji świadczeń udzielonych z rozpoznaniem głównym depresji (F31.3–F31.6, F32, F33, F34.1, F34.8, F34.9, F38, F39 wg ICD-10, rozpoznanie główne) wg form opieki (2013–2023)")</f>
        <v>Tabela 2.10: Wartość refundacji świadczeń udzielonych z rozpoznaniem głównym depresji (F31.3–F31.6, F32, F33, F34.1, F34.8, F34.9, F38, F39 wg ICD-10, rozpoznanie główne) wg form opieki (2013–2023)</v>
      </c>
    </row>
    <row r="25" spans="1:1" x14ac:dyDescent="0.35">
      <c r="A25" s="11" t="str">
        <f>HYPERLINK("#'Wykres 2.9'!A1", "Wykres 2.9: Procentowa zmiana łącznej wartości refundacji świadczeń udzielonych z rozpoznaniem głównym depresji (F31.3–F31.6, F32, F33, F34.1, F34.8, F34.9, F38, F39 wg ICD-10) w stosunku do 2013 r. wg form opieki")</f>
        <v>Wykres 2.9: Procentowa zmiana łącznej wartości refundacji świadczeń udzielonych z rozpoznaniem głównym depresji (F31.3–F31.6, F32, F33, F34.1, F34.8, F34.9, F38, F39 wg ICD-10) w stosunku do 2013 r. wg form opieki</v>
      </c>
    </row>
    <row r="26" spans="1:1" x14ac:dyDescent="0.35">
      <c r="A26" s="11" t="str">
        <f>HYPERLINK("#'Wykres 2.10'!A1", "Wykres 2.10: Wartość refundacji świadczeń udzielonych z rozpoznaniem głównym depresji (F31.3–F31.6, F32, F33, F34.1, F34.8, F34.9, F38, F39 wg ICD-10) w przeliczeniu na pacjenta (2013–2023)")</f>
        <v>Wykres 2.10: Wartość refundacji świadczeń udzielonych z rozpoznaniem głównym depresji (F31.3–F31.6, F32, F33, F34.1, F34.8, F34.9, F38, F39 wg ICD-10) w przeliczeniu na pacjenta (2013–2023)</v>
      </c>
    </row>
    <row r="27" spans="1:1" x14ac:dyDescent="0.35">
      <c r="A27" s="11" t="str">
        <f>HYPERLINK("#'Tabela 2.11'!A1", "Tabela 2.11: Wartość refundacji świadczeń udzielonych z rozpoznaniem głównym depresji (F31.3–F31.6, F32, F33, F34.1, F34.8, F34.9, F38, F39 wg ICD-10) w poradniach psychiatrycznych w podziale na rodzaj porady (2013–2023)")</f>
        <v>Tabela 2.11: Wartość refundacji świadczeń udzielonych z rozpoznaniem głównym depresji (F31.3–F31.6, F32, F33, F34.1, F34.8, F34.9, F38, F39 wg ICD-10) w poradniach psychiatrycznych w podziale na rodzaj porady (2013–2023)</v>
      </c>
    </row>
    <row r="28" spans="1:1" x14ac:dyDescent="0.35">
      <c r="A28" s="11" t="str">
        <f>HYPERLINK("#'Tabela 2.12'!A1", "Tabela 2.12: Wartość refundacji porad lekarskich udzielonych z rozpoznaniem głównym depresji (F31.3–F31.6, F32, F33, F34.1, F34.8, F34.9, F38, F39 wg ICD-10) w poradniach psychiatrycznych w podziale na rodzaj porady (2013–2023)")</f>
        <v>Tabela 2.12: Wartość refundacji porad lekarskich udzielonych z rozpoznaniem głównym depresji (F31.3–F31.6, F32, F33, F34.1, F34.8, F34.9, F38, F39 wg ICD-10) w poradniach psychiatrycznych w podziale na rodzaj porady (2013–2023)</v>
      </c>
    </row>
    <row r="29" spans="1:1" x14ac:dyDescent="0.35">
      <c r="A29" s="11" t="str">
        <f>HYPERLINK("#'Wykres 2.11'!A1", "Wykres 2.11: Liczba pacjentów (w tys.) realizujących recepty na refundowane leki przeciwdepresyjne (2013–2023)")</f>
        <v>Wykres 2.11: Liczba pacjentów (w tys.) realizujących recepty na refundowane leki przeciwdepresyjne (2013–2023)</v>
      </c>
    </row>
    <row r="30" spans="1:1" x14ac:dyDescent="0.35">
      <c r="A30" s="11" t="str">
        <f>HYPERLINK("#'Wykres 2.12'!A1", "Wykres 2.12: Liczba pacjentów (w tys.) poniżej 18 r.ż., którzy zrealizowali receptę na refundowane leki przeciwdepresyjne (2013–2023)")</f>
        <v>Wykres 2.12: Liczba pacjentów (w tys.) poniżej 18 r.ż., którzy zrealizowali receptę na refundowane leki przeciwdepresyjne (2013–2023)</v>
      </c>
    </row>
    <row r="31" spans="1:1" x14ac:dyDescent="0.35">
      <c r="A31" s="11" t="str">
        <f>HYPERLINK("#'Tabela 2.13'!A1", "Tabela 2.13: Struktura wieku i płci pacjentów realizujących recepty na refundowane leki przeciwdepresyjne (2013–2023)")</f>
        <v>Tabela 2.13: Struktura wieku i płci pacjentów realizujących recepty na refundowane leki przeciwdepresyjne (2013–2023)</v>
      </c>
    </row>
    <row r="32" spans="1:1" x14ac:dyDescent="0.35">
      <c r="A32" s="11" t="str">
        <f>HYPERLINK("#'Wykres 2.13'!A1", "Wykres 2.13: Struktura wieku pacjentów realizujących recepty na refundowane leki przeciwdepresyjne (2013–2023)")</f>
        <v>Wykres 2.13: Struktura wieku pacjentów realizujących recepty na refundowane leki przeciwdepresyjne (2013–2023)</v>
      </c>
    </row>
    <row r="33" spans="1:1" x14ac:dyDescent="0.35">
      <c r="A33" s="11" t="str">
        <f>HYPERLINK("#'Wykres 2.14'!A1", "Wykres 2.14: Odsetek pacjentów zamieszkałych w miastach i gminach miejskich wśród pacjentów, którzy w 2023 r. zrealizowali co najmniej jedną receptę na refundowany lek przeciwdepresyjny")</f>
        <v>Wykres 2.14: Odsetek pacjentów zamieszkałych w miastach i gminach miejskich wśród pacjentów, którzy w 2023 r. zrealizowali co najmniej jedną receptę na refundowany lek przeciwdepresyjny</v>
      </c>
    </row>
    <row r="34" spans="1:1" x14ac:dyDescent="0.35">
      <c r="A34" s="11" t="str">
        <f>HYPERLINK("#'Wykres 2.15'!A1", "Wykres 2.15: Odsetek osób, które w 2023 roku zrealizowały co najmniej jedną receptę na refundowany lek przeciwdepresyjny w stosunku do ludności województwa")</f>
        <v>Wykres 2.15: Odsetek osób, które w 2023 roku zrealizowały co najmniej jedną receptę na refundowany lek przeciwdepresyjny w stosunku do ludności województwa</v>
      </c>
    </row>
    <row r="35" spans="1:1" x14ac:dyDescent="0.35">
      <c r="A35" s="11" t="str">
        <f>HYPERLINK("#'Wykres 2.16'!A1", "Wykres 2.16: Wartość refundacji oraz dopłat pacjentów dla refundowanych leków przeciwdepresyjnych (2013–2023)")</f>
        <v>Wykres 2.16: Wartość refundacji oraz dopłat pacjentów dla refundowanych leków przeciwdepresyjnych (2013–2023)</v>
      </c>
    </row>
    <row r="36" spans="1:1" x14ac:dyDescent="0.35">
      <c r="A36" s="11" t="str">
        <f>HYPERLINK("#'Wykres 2.17'!A1", "Wykres 2.17: Wartość średniej refundacji oraz średnich dopłat pacjentów do refundowanych leków przeciwdepresyjnych w przeliczeniu na pacjenta (2013–2023)")</f>
        <v>Wykres 2.17: Wartość średniej refundacji oraz średnich dopłat pacjentów do refundowanych leków przeciwdepresyjnych w przeliczeniu na pacjenta (2013–2023)</v>
      </c>
    </row>
    <row r="37" spans="1:1" x14ac:dyDescent="0.35">
      <c r="A37" s="11" t="str">
        <f>HYPERLINK("#'Tabela 2.14'!A1", "Tabela 2.14: Realizacja recept na refundowane leki przeciwdepresyjne (2013–2023)")</f>
        <v>Tabela 2.14: Realizacja recept na refundowane leki przeciwdepresyjne (2013–2023)</v>
      </c>
    </row>
    <row r="38" spans="1:1" x14ac:dyDescent="0.35">
      <c r="A38" s="11" t="str">
        <f>HYPERLINK("#'Wykres 2.18'!A1", "Wykres 2.18: Liczba pacjentów (w tys.) realizująca recepty na refundowane leki przeciwdepresyjne według wyszczególnionych substancji czynnych (2013–2023)")</f>
        <v>Wykres 2.18: Liczba pacjentów (w tys.) realizująca recepty na refundowane leki przeciwdepresyjne według wyszczególnionych substancji czynnych (2013–2023)</v>
      </c>
    </row>
    <row r="39" spans="1:1" x14ac:dyDescent="0.35">
      <c r="A39" s="11" t="str">
        <f>HYPERLINK("#'Tabela 2.15'!A1", "Tabela 2.15: Liczba pacjentów (w tys.) realizujących recepty na refundowane leki przeciwdepresyjne wg wyszczególnionych substancji (2013–2023)")</f>
        <v>Tabela 2.15: Liczba pacjentów (w tys.) realizujących recepty na refundowane leki przeciwdepresyjne wg wyszczególnionych substancji (2013–2023)</v>
      </c>
    </row>
    <row r="40" spans="1:1" x14ac:dyDescent="0.35">
      <c r="A40" s="11" t="str">
        <f>HYPERLINK("#'Wykres 2.19'!A1", "Wykres 2.19: Liczba pacjentów (w tys.) poniżej 18 r.ż., którzy zrealizowali recepty na refundowane leki przeciwdepresyjne według wyszczególnionych substancji czynnych (2013–2023)")</f>
        <v>Wykres 2.19: Liczba pacjentów (w tys.) poniżej 18 r.ż., którzy zrealizowali recepty na refundowane leki przeciwdepresyjne według wyszczególnionych substancji czynnych (2013–2023)</v>
      </c>
    </row>
    <row r="41" spans="1:1" x14ac:dyDescent="0.35">
      <c r="A41" s="11" t="str">
        <f>HYPERLINK("#'Wykres 2.20'!A1", "Wykres 2.20: Wartość refundacji (w mln zł) leków przeciwdepresyjnych w podziale na substancje czynne (2013–2023)")</f>
        <v>Wykres 2.20: Wartość refundacji (w mln zł) leków przeciwdepresyjnych w podziale na substancje czynne (2013–2023)</v>
      </c>
    </row>
    <row r="42" spans="1:1" x14ac:dyDescent="0.35">
      <c r="A42" s="11" t="str">
        <f>HYPERLINK("#'Tabela 2.16'!A1", "Tabela 2.16: Wartość refundacji (w mln zł) leków przeciwdepresyjnych wg substancji czynnych (2013–2023)")</f>
        <v>Tabela 2.16: Wartość refundacji (w mln zł) leków przeciwdepresyjnych wg substancji czynnych (2013–2023)</v>
      </c>
    </row>
    <row r="43" spans="1:1" x14ac:dyDescent="0.35">
      <c r="A43" s="11" t="str">
        <f>HYPERLINK("#'Tabela 2.17'!A1", "Tabela 2.17: Wartość dopłat pacjentów (w mln) do refundowanych leków przeciwdepresyjnych wg substancji czynnych (2013–2023)")</f>
        <v>Tabela 2.17: Wartość dopłat pacjentów (w mln) do refundowanych leków przeciwdepresyjnych wg substancji czynnych (2013–2023)</v>
      </c>
    </row>
    <row r="44" spans="1:1" x14ac:dyDescent="0.35">
      <c r="A44" s="11" t="str">
        <f>HYPERLINK("#'Wykres 2.21'!A1", "Wykres 2.21: Liczba DDD (w mln) dla refundowanych leków przeciwdepresyjnych w podziale na substancje czynne (2013–2023)")</f>
        <v>Wykres 2.21: Liczba DDD (w mln) dla refundowanych leków przeciwdepresyjnych w podziale na substancje czynne (2013–2023)</v>
      </c>
    </row>
    <row r="45" spans="1:1" x14ac:dyDescent="0.35">
      <c r="A45" s="11" t="str">
        <f>HYPERLINK("#'Tabela 2.18'!A1", "Tabela 2.18: Miejsce wystawiania recept na refundowane leki przeciwdepresyjne (2023)")</f>
        <v>Tabela 2.18: Miejsce wystawiania recept na refundowane leki przeciwdepresyjne (2023)</v>
      </c>
    </row>
    <row r="46" spans="1:1" x14ac:dyDescent="0.35">
      <c r="A46" s="11" t="str">
        <f>HYPERLINK("#'Tabela 2.19'!A1", "Tabela 2.19: Świadczenia, w ramach których wystawiono receptę na refundowane leki przeciwdepresyjne (2023)")</f>
        <v>Tabela 2.19: Świadczenia, w ramach których wystawiono receptę na refundowane leki przeciwdepresyjne (2023)</v>
      </c>
    </row>
    <row r="47" spans="1:1" x14ac:dyDescent="0.35">
      <c r="A47" s="11" t="str">
        <f>HYPERLINK("#'Tabela 2.20'!A1", "Tabela 2.20: Świadczenia, w ramach których wystawiono receptę na refundowane leki przeciwdepresyjne i dla których sprawozdano rozpoznanie główne z grupy: Zaburzenia psychiczne i zaburzenia zachowania (F00-F99) (2023)")</f>
        <v>Tabela 2.20: Świadczenia, w ramach których wystawiono receptę na refundowane leki przeciwdepresyjne i dla których sprawozdano rozpoznanie główne z grupy: Zaburzenia psychiczne i zaburzenia zachowania (F00-F99) (2023)</v>
      </c>
    </row>
    <row r="48" spans="1:1" x14ac:dyDescent="0.35">
      <c r="A48" s="11" t="str">
        <f>HYPERLINK("#'Wykres 2.22'!A1", "Wykres 2.22: Recepty na refundowane leki przeciwdepresyjne a świadczenia udzielone z powodu zaburzeń psychicznych (F00-F99)")</f>
        <v>Wykres 2.22: Recepty na refundowane leki przeciwdepresyjne a świadczenia udzielone z powodu zaburzeń psychicznych (F00-F99)</v>
      </c>
    </row>
    <row r="49" spans="1:1" x14ac:dyDescent="0.35">
      <c r="A49" s="11" t="str">
        <f>HYPERLINK("#'Tabela 2.21'!A1", "Tabela 2.21: Informacje o realizacji recept na leki przeciwdepresyjne (refundowane i nierefundowane przez NFZ) (2019-2023)")</f>
        <v>Tabela 2.21: Informacje o realizacji recept na leki przeciwdepresyjne (refundowane i nierefundowane przez NFZ) (2019-2023)</v>
      </c>
    </row>
    <row r="50" spans="1:1" x14ac:dyDescent="0.35">
      <c r="A50" s="11" t="str">
        <f>HYPERLINK("#'Wykres 2.23a'!A1", "Wykres 2.23a: Struktura wieku pacjentów realizujących recepty na leki przeciwdepresyjne— leki refundowane i nierefundowane (2019-2023)")</f>
        <v>Wykres 2.23a: Struktura wieku pacjentów realizujących recepty na leki przeciwdepresyjne— leki refundowane i nierefundowane (2019-2023)</v>
      </c>
    </row>
    <row r="51" spans="1:1" x14ac:dyDescent="0.35">
      <c r="A51" s="11" t="str">
        <f>HYPERLINK("#'Wykres 2.23b'!A1", "Wykres 2.23b: Struktura płci pacjentów realizujących recepty na leki przeciwdepresyjne— leki refundowane i nierefundowane (2019-2023)")</f>
        <v>Wykres 2.23b: Struktura płci pacjentów realizujących recepty na leki przeciwdepresyjne— leki refundowane i nierefundowane (2019-2023)</v>
      </c>
    </row>
    <row r="52" spans="1:1" x14ac:dyDescent="0.35">
      <c r="A52" s="11" t="str">
        <f>HYPERLINK("#'Wykres 2.24a'!A1", "Wykres 2.24a: Liczba opakowań na osobę ze względu na grupy wiekowe dla leków przeciwdepresyjnych — leki refundowane i nierefundowane (2019-2023)")</f>
        <v>Wykres 2.24a: Liczba opakowań na osobę ze względu na grupy wiekowe dla leków przeciwdepresyjnych — leki refundowane i nierefundowane (2019-2023)</v>
      </c>
    </row>
    <row r="53" spans="1:1" x14ac:dyDescent="0.35">
      <c r="A53" s="11" t="str">
        <f>HYPERLINK("#'Wykres 2.24b'!A1", "Wykres 2.24b: Liczba opakowań na osobę ze względu na płeć dla leków przeciwdepresyjnych — leki refundowane i nirefundowane (2019-2023)")</f>
        <v>Wykres 2.24b: Liczba opakowań na osobę ze względu na płeć dla leków przeciwdepresyjnych — leki refundowane i nirefundowane (2019-2023)</v>
      </c>
    </row>
    <row r="54" spans="1:1" x14ac:dyDescent="0.35">
      <c r="A54" s="11" t="str">
        <f>HYPERLINK("#'Wykres 2.25'!A1", "Wykres 2.25: Struktura liczby opakowań wg poziomów odpłatności pacjenta dla leków przeciwdepresyjnych—leki refundowane i nierefundowane (2019-2023)")</f>
        <v>Wykres 2.25: Struktura liczby opakowań wg poziomów odpłatności pacjenta dla leków przeciwdepresyjnych—leki refundowane i nierefundowane (2019-2023)</v>
      </c>
    </row>
    <row r="55" spans="1:1" x14ac:dyDescent="0.35">
      <c r="A55" s="11" t="str">
        <f>HYPERLINK("#'Tabela 2.21a'!A1", "Tabela 2.21a: Realizacja recept na leki przeciwdepresyjne (refundowane i nierefundowane przez NFZ) wg dziesięciu najczęściej występujących substancji czynnych w danym roku (2019-2023)")</f>
        <v>Tabela 2.21a: Realizacja recept na leki przeciwdepresyjne (refundowane i nierefundowane przez NFZ) wg dziesięciu najczęściej występujących substancji czynnych w danym roku (2019-2023)</v>
      </c>
    </row>
    <row r="56" spans="1:1" x14ac:dyDescent="0.35">
      <c r="A56" s="11" t="str">
        <f>HYPERLINK("#'Wykres 2.26'!A1", "Wykres 2.26: Rozkład wieku pacjentów wybranych do analizy ciągłości farmakoterapii refundowanymi lekami przeciwdepresyjnym na przykładzie sertralinum – pacjenci rozpoczynający terapię substancją sertralinum w 2022 r.")</f>
        <v>Wykres 2.26: Rozkład wieku pacjentów wybranych do analizy ciągłości farmakoterapii refundowanymi lekami przeciwdepresyjnym na przykładzie sertralinum – pacjenci rozpoczynający terapię substancją sertralinum w 2022 r.</v>
      </c>
    </row>
    <row r="57" spans="1:1" x14ac:dyDescent="0.35">
      <c r="A57" s="11" t="str">
        <f>HYPERLINK("#'Tabela 2.22'!A1", "Tabela 2.22: Mediana długości leczenia lekiem refundowanym z substancją czynną sertralinum (czas pomiędzy datą realizacji pierwszej recepty a datą ...")</f>
        <v>Tabela 2.22: Mediana długości leczenia lekiem refundowanym z substancją czynną sertralinum (czas pomiędzy datą realizacji pierwszej recepty a datą ...</v>
      </c>
    </row>
    <row r="58" spans="1:1" x14ac:dyDescent="0.35">
      <c r="A58" s="11" t="str">
        <f>HYPERLINK("#'Wykres 2.27'!A1", "Wykres 2.27: Długość trwania farmakoterapii refundowanymi lekami przeciwdepresyjnymi zawierającymi substancję czynną sertralinum wg grup wiekowych")</f>
        <v>Wykres 2.27: Długość trwania farmakoterapii refundowanymi lekami przeciwdepresyjnymi zawierającymi substancję czynną sertralinum wg grup wiekowych</v>
      </c>
    </row>
    <row r="59" spans="1:1" x14ac:dyDescent="0.35">
      <c r="A59" s="11" t="str">
        <f>HYPERLINK("#'Tabela 2.23'!A1", "Tabela 2.23: Długość trwania farmakoterapii refundowanymi lekami przeciwdepresyjnymi zawierającymi substancję czynną sertralinum wg grup wiekowych")</f>
        <v>Tabela 2.23: Długość trwania farmakoterapii refundowanymi lekami przeciwdepresyjnymi zawierającymi substancję czynną sertralinum wg grup wiekowych</v>
      </c>
    </row>
    <row r="60" spans="1:1" x14ac:dyDescent="0.35">
      <c r="A60" s="11" t="str">
        <f>HYPERLINK("#'Wykres 2.28'!A1", "Wykres 2.28: Odsetki pacjentów, których farmakoterapia lekami refundowanymi z substancją sertralinum trwała co najmniej 180 dni według województw")</f>
        <v>Wykres 2.28: Odsetki pacjentów, których farmakoterapia lekami refundowanymi z substancją sertralinum trwała co najmniej 180 dni według województw</v>
      </c>
    </row>
    <row r="61" spans="1:1" x14ac:dyDescent="0.35">
      <c r="A61" s="11" t="str">
        <f>HYPERLINK("#'Wykres 2.29'!A1", "Wykres 2.29: Wskaźnik proporcji pokrycia dni (PDC, ang. proportion of days covered) lekami refundowanymi z sertralinum wg grup wiekowych")</f>
        <v>Wykres 2.29: Wskaźnik proporcji pokrycia dni (PDC, ang. proportion of days covered) lekami refundowanymi z sertralinum wg grup wiekowych</v>
      </c>
    </row>
    <row r="62" spans="1:1" x14ac:dyDescent="0.35">
      <c r="A62" s="11" t="str">
        <f>HYPERLINK("#'Tabela 2.24'!A1", "Tabela 2.24: Wskaźnik proporcji pokrycia dni (PDC, ang. proportion of days covered) lekami refundowanymi z sertralinum wg grup wiekowych")</f>
        <v>Tabela 2.24: Wskaźnik proporcji pokrycia dni (PDC, ang. proportion of days covered) lekami refundowanymi z sertralinum wg grup wiekowych</v>
      </c>
    </row>
    <row r="63" spans="1:1" x14ac:dyDescent="0.35">
      <c r="A63" s="11" t="str">
        <f>HYPERLINK("#'Wykres 3.1'!A1", "Wykres 3.1: Liczba zwolnień (w tys.) z tytułu choroby własnej z powodu dużej depresji—F32, F33 wg ICD-10 (2013–2023)")</f>
        <v>Wykres 3.1: Liczba zwolnień (w tys.) z tytułu choroby własnej z powodu dużej depresji—F32, F33 wg ICD-10 (2013–2023)</v>
      </c>
    </row>
    <row r="64" spans="1:1" x14ac:dyDescent="0.35">
      <c r="A64" s="11" t="str">
        <f>HYPERLINK("#'Wykres 3.2'!A1", "Wykres 3.2: Liczba dni (w mln) zwolnień lekarskich z tytułu choroby własnej z powodu dużej depresji—F32, F33 wg ICD-10 (2013–2023)")</f>
        <v>Wykres 3.2: Liczba dni (w mln) zwolnień lekarskich z tytułu choroby własnej z powodu dużej depresji—F32, F33 wg ICD-10 (2013–2023)</v>
      </c>
    </row>
    <row r="65" spans="1:1" x14ac:dyDescent="0.35">
      <c r="A65" s="11" t="str">
        <f>HYPERLINK("#'Wykres 3.3'!A1", "Wykres 3.3: Średnia długość zwolnienia (w dniach) z tytułu choroby własnej z powodu depresji—F32, F33 wg ICD-10 (2013–2023)")</f>
        <v>Wykres 3.3: Średnia długość zwolnienia (w dniach) z tytułu choroby własnej z powodu depresji—F32, F33 wg ICD-10 (2013–2023)</v>
      </c>
    </row>
    <row r="66" spans="1:1" x14ac:dyDescent="0.35">
      <c r="A66" s="11" t="str">
        <f>HYPERLINK("#'Wykres 3.4'!A1", "Wykres 3.4: Odsetek orzeczeń z rozpoznaniem dużej depresji (F32, F33 wg ICD-10) wg kategorii stopnia niezdolności do pracy—kobiety (2013–2023)")</f>
        <v>Wykres 3.4: Odsetek orzeczeń z rozpoznaniem dużej depresji (F32, F33 wg ICD-10) wg kategorii stopnia niezdolności do pracy—kobiety (2013–2023)</v>
      </c>
    </row>
    <row r="67" spans="1:1" x14ac:dyDescent="0.35">
      <c r="A67" s="11" t="str">
        <f>HYPERLINK("#'Wykres 3.5'!A1", "Wykres 3.5: Odsetek orzeczeń z rozpoznaniem dużej depresji (F32, F33 wg ICD-10) wg kategorii stopnia niezdolności do pracy—mężczyźni (2013–2023)")</f>
        <v>Wykres 3.5: Odsetek orzeczeń z rozpoznaniem dużej depresji (F32, F33 wg ICD-10) wg kategorii stopnia niezdolności do pracy—mężczyźni (2013–2023)</v>
      </c>
    </row>
    <row r="68" spans="1:1" x14ac:dyDescent="0.35">
      <c r="A68" s="11" t="str">
        <f>HYPERLINK("#'Tabela 3.1'!A1", "Tabela 3.1: Liczba wystawionych orzeczeń z powodu ciężkiej depresji (F32, F33 wg ICD-10) w celach rentowych wg stopnia niezdolności do pracy (2013–2023)")</f>
        <v>Tabela 3.1: Liczba wystawionych orzeczeń z powodu ciężkiej depresji (F32, F33 wg ICD-10) w celach rentowych wg stopnia niezdolności do pracy (2013–2023)</v>
      </c>
    </row>
    <row r="69" spans="1:1" x14ac:dyDescent="0.35">
      <c r="A69" s="11" t="str">
        <f>HYPERLINK("#'Wykres 3.6'!A1", "Wykres 3.6: Liczba ponownych orzeczeń o niezdolności do pracy z powodu dużej depresji (F32, F33 wg ICD-10) wystawionych dla celów rentowych wg płci (2013–2023)")</f>
        <v>Wykres 3.6: Liczba ponownych orzeczeń o niezdolności do pracy z powodu dużej depresji (F32, F33 wg ICD-10) wystawionych dla celów rentowych wg płci (2013–2023)</v>
      </c>
    </row>
    <row r="70" spans="1:1" x14ac:dyDescent="0.35">
      <c r="A70" s="11" t="str">
        <f>HYPERLINK("#'Wykres 3.7'!A1", "Wykres 3.7: Liczba orzeczeń z rozpoznaniem dużej depresji (F32, F33 wg ICD-10) wg kategorii stopnia niezdolności do pracy—kobiety (2013–2023)")</f>
        <v>Wykres 3.7: Liczba orzeczeń z rozpoznaniem dużej depresji (F32, F33 wg ICD-10) wg kategorii stopnia niezdolności do pracy—kobiety (2013–2023)</v>
      </c>
    </row>
    <row r="71" spans="1:1" x14ac:dyDescent="0.35">
      <c r="A71" s="11" t="str">
        <f>HYPERLINK("#'Wykres 3.8'!A1", "Wykres 3.8: Liczba orzeczeń z rozpoznaniem dużej depresji (F32, F33 wg ICD-10) wg kategorii stopnia niezdolności do pracy—mężczyźni (2013–2023)")</f>
        <v>Wykres 3.8: Liczba orzeczeń z rozpoznaniem dużej depresji (F32, F33 wg ICD-10) wg kategorii stopnia niezdolności do pracy—mężczyźni (2013–2023)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23"/>
  <sheetViews>
    <sheetView workbookViewId="0"/>
  </sheetViews>
  <sheetFormatPr defaultColWidth="10.90625" defaultRowHeight="14.5" x14ac:dyDescent="0.35"/>
  <cols>
    <col min="1" max="1" width="21.7265625" customWidth="1"/>
    <col min="2" max="2" width="18.7265625" customWidth="1"/>
  </cols>
  <sheetData>
    <row r="1" spans="1:2" x14ac:dyDescent="0.35">
      <c r="A1" t="s">
        <v>67</v>
      </c>
    </row>
    <row r="3" spans="1:2" x14ac:dyDescent="0.35">
      <c r="A3" s="5" t="s">
        <v>68</v>
      </c>
      <c r="B3" s="6" t="s">
        <v>3</v>
      </c>
    </row>
    <row r="4" spans="1:2" x14ac:dyDescent="0.35">
      <c r="A4" s="2" t="s">
        <v>69</v>
      </c>
      <c r="B4" s="38">
        <v>1.6E-2</v>
      </c>
    </row>
    <row r="5" spans="1:2" x14ac:dyDescent="0.35">
      <c r="A5" s="2" t="s">
        <v>70</v>
      </c>
      <c r="B5" s="38">
        <v>2.8000000000000001E-2</v>
      </c>
    </row>
    <row r="6" spans="1:2" x14ac:dyDescent="0.35">
      <c r="A6" s="2" t="s">
        <v>71</v>
      </c>
      <c r="B6" s="38">
        <v>2.8000000000000001E-2</v>
      </c>
    </row>
    <row r="7" spans="1:2" x14ac:dyDescent="0.35">
      <c r="A7" s="2" t="s">
        <v>72</v>
      </c>
      <c r="B7" s="38">
        <v>1.4999999999999999E-2</v>
      </c>
    </row>
    <row r="8" spans="1:2" x14ac:dyDescent="0.35">
      <c r="A8" s="2" t="s">
        <v>73</v>
      </c>
      <c r="B8" s="38">
        <v>2.5000000000000001E-2</v>
      </c>
    </row>
    <row r="9" spans="1:2" x14ac:dyDescent="0.35">
      <c r="A9" s="2" t="s">
        <v>74</v>
      </c>
      <c r="B9" s="38">
        <v>2.1000000000000001E-2</v>
      </c>
    </row>
    <row r="10" spans="1:2" x14ac:dyDescent="0.35">
      <c r="A10" s="2" t="s">
        <v>75</v>
      </c>
      <c r="B10" s="38">
        <v>0.02</v>
      </c>
    </row>
    <row r="11" spans="1:2" x14ac:dyDescent="0.35">
      <c r="A11" s="2" t="s">
        <v>76</v>
      </c>
      <c r="B11" s="38">
        <v>1.6E-2</v>
      </c>
    </row>
    <row r="12" spans="1:2" x14ac:dyDescent="0.35">
      <c r="A12" s="2" t="s">
        <v>77</v>
      </c>
      <c r="B12" s="38">
        <v>2.1999999999999999E-2</v>
      </c>
    </row>
    <row r="13" spans="1:2" x14ac:dyDescent="0.35">
      <c r="A13" s="2" t="s">
        <v>78</v>
      </c>
      <c r="B13" s="38">
        <v>2.3E-2</v>
      </c>
    </row>
    <row r="14" spans="1:2" x14ac:dyDescent="0.35">
      <c r="A14" s="2" t="s">
        <v>79</v>
      </c>
      <c r="B14" s="38">
        <v>2.4E-2</v>
      </c>
    </row>
    <row r="15" spans="1:2" x14ac:dyDescent="0.35">
      <c r="A15" s="2" t="s">
        <v>80</v>
      </c>
      <c r="B15" s="38">
        <v>2.1999999999999999E-2</v>
      </c>
    </row>
    <row r="16" spans="1:2" x14ac:dyDescent="0.35">
      <c r="A16" s="2" t="s">
        <v>81</v>
      </c>
      <c r="B16" s="38">
        <v>1.9E-2</v>
      </c>
    </row>
    <row r="17" spans="1:2" x14ac:dyDescent="0.35">
      <c r="A17" s="2" t="s">
        <v>82</v>
      </c>
      <c r="B17" s="38">
        <v>1.4E-2</v>
      </c>
    </row>
    <row r="18" spans="1:2" x14ac:dyDescent="0.35">
      <c r="A18" s="2" t="s">
        <v>83</v>
      </c>
      <c r="B18" s="38">
        <v>2.5000000000000001E-2</v>
      </c>
    </row>
    <row r="19" spans="1:2" x14ac:dyDescent="0.35">
      <c r="A19" s="8" t="s">
        <v>84</v>
      </c>
      <c r="B19" s="39">
        <v>1.2999999999999999E-2</v>
      </c>
    </row>
    <row r="21" spans="1:2" x14ac:dyDescent="0.35">
      <c r="A21" t="s">
        <v>85</v>
      </c>
    </row>
    <row r="23" spans="1:2" x14ac:dyDescent="0.35">
      <c r="A23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workbookViewId="0"/>
  </sheetViews>
  <sheetFormatPr defaultColWidth="10.90625" defaultRowHeight="14.5" x14ac:dyDescent="0.35"/>
  <cols>
    <col min="1" max="1" width="6.7265625" style="172" customWidth="1"/>
    <col min="2" max="2" width="16.7265625" customWidth="1"/>
    <col min="3" max="3" width="36.7265625" customWidth="1"/>
    <col min="4" max="4" width="110.7265625" customWidth="1"/>
    <col min="5" max="5" width="45.7265625" customWidth="1"/>
    <col min="6" max="6" width="29.7265625" customWidth="1"/>
  </cols>
  <sheetData>
    <row r="1" spans="1:6" x14ac:dyDescent="0.35">
      <c r="A1" s="172" t="s">
        <v>86</v>
      </c>
    </row>
    <row r="3" spans="1:6" x14ac:dyDescent="0.35">
      <c r="A3" s="173" t="s">
        <v>1</v>
      </c>
      <c r="B3" s="4" t="s">
        <v>54</v>
      </c>
      <c r="C3" s="4" t="s">
        <v>87</v>
      </c>
      <c r="D3" s="4" t="s">
        <v>88</v>
      </c>
      <c r="E3" s="4" t="s">
        <v>89</v>
      </c>
      <c r="F3" s="6" t="s">
        <v>90</v>
      </c>
    </row>
    <row r="4" spans="1:6" x14ac:dyDescent="0.35">
      <c r="A4" s="174">
        <v>2013</v>
      </c>
      <c r="B4" s="183">
        <v>542.6</v>
      </c>
      <c r="C4" s="183">
        <v>266.10000000000002</v>
      </c>
      <c r="D4">
        <v>298.2</v>
      </c>
      <c r="E4" s="183">
        <v>10</v>
      </c>
      <c r="F4" s="187">
        <v>7.6</v>
      </c>
    </row>
    <row r="5" spans="1:6" x14ac:dyDescent="0.35">
      <c r="A5" s="174">
        <v>2014</v>
      </c>
      <c r="B5" s="183">
        <v>538.9</v>
      </c>
      <c r="C5" s="183">
        <v>260.89999999999998</v>
      </c>
      <c r="D5">
        <v>298.10000000000002</v>
      </c>
      <c r="E5" s="183">
        <v>9.5</v>
      </c>
      <c r="F5" s="187">
        <v>8.1999999999999993</v>
      </c>
    </row>
    <row r="6" spans="1:6" x14ac:dyDescent="0.35">
      <c r="A6" s="174">
        <v>2015</v>
      </c>
      <c r="B6" s="183">
        <v>533</v>
      </c>
      <c r="C6" s="183">
        <v>256</v>
      </c>
      <c r="D6">
        <v>296.2</v>
      </c>
      <c r="E6" s="183">
        <v>8.5</v>
      </c>
      <c r="F6" s="187">
        <v>8.1999999999999993</v>
      </c>
    </row>
    <row r="7" spans="1:6" x14ac:dyDescent="0.35">
      <c r="A7" s="174">
        <v>2016</v>
      </c>
      <c r="B7" s="183">
        <v>527.6</v>
      </c>
      <c r="C7" s="183">
        <v>253.7</v>
      </c>
      <c r="D7">
        <v>292.60000000000002</v>
      </c>
      <c r="E7" s="183">
        <v>8.4</v>
      </c>
      <c r="F7" s="187">
        <v>8.1</v>
      </c>
    </row>
    <row r="8" spans="1:6" x14ac:dyDescent="0.35">
      <c r="A8" s="174">
        <v>2017</v>
      </c>
      <c r="B8" s="183">
        <v>517</v>
      </c>
      <c r="C8" s="183">
        <v>247.4</v>
      </c>
      <c r="D8">
        <v>287.5</v>
      </c>
      <c r="E8" s="183">
        <v>8.1999999999999993</v>
      </c>
      <c r="F8" s="187">
        <v>8.1</v>
      </c>
    </row>
    <row r="9" spans="1:6" x14ac:dyDescent="0.35">
      <c r="A9" s="174">
        <v>2018</v>
      </c>
      <c r="B9" s="183">
        <v>502.4</v>
      </c>
      <c r="C9" s="183">
        <v>240.3</v>
      </c>
      <c r="D9">
        <v>283.89999999999998</v>
      </c>
      <c r="E9" s="183">
        <v>7.9</v>
      </c>
      <c r="F9" s="187">
        <v>7.7</v>
      </c>
    </row>
    <row r="10" spans="1:6" x14ac:dyDescent="0.35">
      <c r="A10" s="174">
        <v>2019</v>
      </c>
      <c r="B10" s="183">
        <v>483</v>
      </c>
      <c r="C10" s="183">
        <v>252.9</v>
      </c>
      <c r="D10">
        <v>277.89999999999998</v>
      </c>
      <c r="E10" s="183">
        <v>7.7</v>
      </c>
      <c r="F10" s="187">
        <v>7.3</v>
      </c>
    </row>
    <row r="11" spans="1:6" x14ac:dyDescent="0.35">
      <c r="A11" s="174">
        <v>2020</v>
      </c>
      <c r="B11" s="183">
        <v>456.5</v>
      </c>
      <c r="C11" s="183">
        <v>234.9</v>
      </c>
      <c r="D11">
        <v>264.2</v>
      </c>
      <c r="E11" s="183">
        <v>7.2</v>
      </c>
      <c r="F11" s="187">
        <v>6.4</v>
      </c>
    </row>
    <row r="12" spans="1:6" x14ac:dyDescent="0.35">
      <c r="A12" s="174">
        <v>2021</v>
      </c>
      <c r="B12" s="183">
        <v>476.8</v>
      </c>
      <c r="C12" s="183">
        <v>249.8</v>
      </c>
      <c r="D12">
        <v>274.60000000000002</v>
      </c>
      <c r="E12" s="183">
        <v>7.7</v>
      </c>
      <c r="F12" s="187">
        <v>6.7</v>
      </c>
    </row>
    <row r="13" spans="1:6" x14ac:dyDescent="0.35">
      <c r="A13" s="174">
        <v>2022</v>
      </c>
      <c r="B13" s="183">
        <v>500.2</v>
      </c>
      <c r="C13" s="183">
        <v>268.60000000000002</v>
      </c>
      <c r="D13">
        <v>289.7</v>
      </c>
      <c r="E13" s="183">
        <v>7.9</v>
      </c>
      <c r="F13" s="187">
        <v>7.6</v>
      </c>
    </row>
    <row r="14" spans="1:6" x14ac:dyDescent="0.35">
      <c r="A14" s="175">
        <v>2023</v>
      </c>
      <c r="B14" s="184">
        <v>503.5</v>
      </c>
      <c r="C14" s="184">
        <v>289.8</v>
      </c>
      <c r="D14" s="10">
        <v>306.7</v>
      </c>
      <c r="E14" s="184">
        <v>8.5</v>
      </c>
      <c r="F14" s="188">
        <v>7.7</v>
      </c>
    </row>
    <row r="16" spans="1:6" x14ac:dyDescent="0.35">
      <c r="A16" s="172" t="s">
        <v>63</v>
      </c>
    </row>
    <row r="18" spans="1:1" x14ac:dyDescent="0.35">
      <c r="A18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9"/>
  <sheetViews>
    <sheetView workbookViewId="0"/>
  </sheetViews>
  <sheetFormatPr defaultColWidth="10.90625" defaultRowHeight="14.5" x14ac:dyDescent="0.35"/>
  <cols>
    <col min="1" max="1" width="6.7265625" customWidth="1"/>
    <col min="2" max="2" width="97.7265625" customWidth="1"/>
    <col min="3" max="3" width="18.7265625" customWidth="1"/>
  </cols>
  <sheetData>
    <row r="1" spans="1:3" x14ac:dyDescent="0.35">
      <c r="A1" t="s">
        <v>91</v>
      </c>
    </row>
    <row r="3" spans="1:3" x14ac:dyDescent="0.35">
      <c r="A3" s="5" t="s">
        <v>1</v>
      </c>
      <c r="B3" s="4" t="s">
        <v>92</v>
      </c>
      <c r="C3" s="6" t="s">
        <v>66</v>
      </c>
    </row>
    <row r="4" spans="1:3" x14ac:dyDescent="0.35">
      <c r="A4" s="2" t="s">
        <v>93</v>
      </c>
      <c r="B4" t="s">
        <v>94</v>
      </c>
      <c r="C4" s="40">
        <v>3859</v>
      </c>
    </row>
    <row r="5" spans="1:3" x14ac:dyDescent="0.35">
      <c r="A5" s="2" t="s">
        <v>93</v>
      </c>
      <c r="B5" t="s">
        <v>95</v>
      </c>
      <c r="C5" s="40">
        <v>2916</v>
      </c>
    </row>
    <row r="6" spans="1:3" x14ac:dyDescent="0.35">
      <c r="A6" s="2" t="s">
        <v>96</v>
      </c>
      <c r="B6" t="s">
        <v>94</v>
      </c>
      <c r="C6" s="40">
        <v>4414</v>
      </c>
    </row>
    <row r="7" spans="1:3" x14ac:dyDescent="0.35">
      <c r="A7" s="2" t="s">
        <v>96</v>
      </c>
      <c r="B7" t="s">
        <v>95</v>
      </c>
      <c r="C7" s="40">
        <v>3108</v>
      </c>
    </row>
    <row r="8" spans="1:3" x14ac:dyDescent="0.35">
      <c r="A8" s="2" t="s">
        <v>97</v>
      </c>
      <c r="B8" t="s">
        <v>94</v>
      </c>
      <c r="C8" s="40">
        <v>4707</v>
      </c>
    </row>
    <row r="9" spans="1:3" x14ac:dyDescent="0.35">
      <c r="A9" s="2" t="s">
        <v>97</v>
      </c>
      <c r="B9" t="s">
        <v>95</v>
      </c>
      <c r="C9" s="40">
        <v>3181</v>
      </c>
    </row>
    <row r="10" spans="1:3" x14ac:dyDescent="0.35">
      <c r="A10" s="2" t="s">
        <v>98</v>
      </c>
      <c r="B10" t="s">
        <v>94</v>
      </c>
      <c r="C10" s="40">
        <v>4897</v>
      </c>
    </row>
    <row r="11" spans="1:3" x14ac:dyDescent="0.35">
      <c r="A11" s="2" t="s">
        <v>98</v>
      </c>
      <c r="B11" t="s">
        <v>95</v>
      </c>
      <c r="C11" s="40">
        <v>3378</v>
      </c>
    </row>
    <row r="12" spans="1:3" x14ac:dyDescent="0.35">
      <c r="A12" s="2" t="s">
        <v>99</v>
      </c>
      <c r="B12" t="s">
        <v>94</v>
      </c>
      <c r="C12" s="40">
        <v>5463</v>
      </c>
    </row>
    <row r="13" spans="1:3" x14ac:dyDescent="0.35">
      <c r="A13" s="2" t="s">
        <v>99</v>
      </c>
      <c r="B13" t="s">
        <v>95</v>
      </c>
      <c r="C13" s="40">
        <v>3566</v>
      </c>
    </row>
    <row r="14" spans="1:3" x14ac:dyDescent="0.35">
      <c r="A14" s="2" t="s">
        <v>100</v>
      </c>
      <c r="B14" t="s">
        <v>94</v>
      </c>
      <c r="C14" s="40">
        <v>6729</v>
      </c>
    </row>
    <row r="15" spans="1:3" x14ac:dyDescent="0.35">
      <c r="A15" s="2" t="s">
        <v>100</v>
      </c>
      <c r="B15" t="s">
        <v>95</v>
      </c>
      <c r="C15" s="40">
        <v>4371</v>
      </c>
    </row>
    <row r="16" spans="1:3" x14ac:dyDescent="0.35">
      <c r="A16" s="2" t="s">
        <v>101</v>
      </c>
      <c r="B16" t="s">
        <v>94</v>
      </c>
      <c r="C16" s="40">
        <v>7670</v>
      </c>
    </row>
    <row r="17" spans="1:3" x14ac:dyDescent="0.35">
      <c r="A17" s="2" t="s">
        <v>101</v>
      </c>
      <c r="B17" t="s">
        <v>95</v>
      </c>
      <c r="C17" s="40">
        <v>5306</v>
      </c>
    </row>
    <row r="18" spans="1:3" x14ac:dyDescent="0.35">
      <c r="A18" s="2" t="s">
        <v>102</v>
      </c>
      <c r="B18" t="s">
        <v>94</v>
      </c>
      <c r="C18" s="40">
        <v>7655</v>
      </c>
    </row>
    <row r="19" spans="1:3" x14ac:dyDescent="0.35">
      <c r="A19" s="2" t="s">
        <v>102</v>
      </c>
      <c r="B19" t="s">
        <v>95</v>
      </c>
      <c r="C19" s="40">
        <v>4759</v>
      </c>
    </row>
    <row r="20" spans="1:3" x14ac:dyDescent="0.35">
      <c r="A20" s="2" t="s">
        <v>103</v>
      </c>
      <c r="B20" t="s">
        <v>94</v>
      </c>
      <c r="C20" s="40">
        <v>12150</v>
      </c>
    </row>
    <row r="21" spans="1:3" x14ac:dyDescent="0.35">
      <c r="A21" s="2" t="s">
        <v>103</v>
      </c>
      <c r="B21" t="s">
        <v>95</v>
      </c>
      <c r="C21" s="40">
        <v>7703</v>
      </c>
    </row>
    <row r="22" spans="1:3" x14ac:dyDescent="0.35">
      <c r="A22" s="2" t="s">
        <v>104</v>
      </c>
      <c r="B22" t="s">
        <v>94</v>
      </c>
      <c r="C22" s="40">
        <v>15870</v>
      </c>
    </row>
    <row r="23" spans="1:3" x14ac:dyDescent="0.35">
      <c r="A23" s="2" t="s">
        <v>104</v>
      </c>
      <c r="B23" t="s">
        <v>95</v>
      </c>
      <c r="C23" s="40">
        <v>10490</v>
      </c>
    </row>
    <row r="24" spans="1:3" x14ac:dyDescent="0.35">
      <c r="A24" s="2" t="s">
        <v>105</v>
      </c>
      <c r="B24" t="s">
        <v>94</v>
      </c>
      <c r="C24" s="40">
        <v>15554</v>
      </c>
    </row>
    <row r="25" spans="1:3" x14ac:dyDescent="0.35">
      <c r="A25" s="8" t="s">
        <v>105</v>
      </c>
      <c r="B25" s="10" t="s">
        <v>95</v>
      </c>
      <c r="C25" s="41">
        <v>11426</v>
      </c>
    </row>
    <row r="27" spans="1:3" x14ac:dyDescent="0.35">
      <c r="A27" t="s">
        <v>63</v>
      </c>
    </row>
    <row r="29" spans="1:3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9"/>
  <sheetViews>
    <sheetView workbookViewId="0"/>
  </sheetViews>
  <sheetFormatPr defaultColWidth="10.90625" defaultRowHeight="14.5" x14ac:dyDescent="0.35"/>
  <cols>
    <col min="1" max="1" width="6.7265625" customWidth="1"/>
    <col min="2" max="2" width="97.7265625" customWidth="1"/>
    <col min="3" max="3" width="18.7265625" customWidth="1"/>
  </cols>
  <sheetData>
    <row r="1" spans="1:3" x14ac:dyDescent="0.35">
      <c r="A1" t="s">
        <v>106</v>
      </c>
    </row>
    <row r="3" spans="1:3" x14ac:dyDescent="0.35">
      <c r="A3" s="5" t="s">
        <v>1</v>
      </c>
      <c r="B3" s="4" t="s">
        <v>92</v>
      </c>
      <c r="C3" s="6" t="s">
        <v>66</v>
      </c>
    </row>
    <row r="4" spans="1:3" x14ac:dyDescent="0.35">
      <c r="A4" s="2" t="s">
        <v>93</v>
      </c>
      <c r="B4" t="s">
        <v>94</v>
      </c>
      <c r="C4" s="42">
        <v>294298</v>
      </c>
    </row>
    <row r="5" spans="1:3" x14ac:dyDescent="0.35">
      <c r="A5" s="2" t="s">
        <v>93</v>
      </c>
      <c r="B5" t="s">
        <v>95</v>
      </c>
      <c r="C5" s="42">
        <v>263171</v>
      </c>
    </row>
    <row r="6" spans="1:3" x14ac:dyDescent="0.35">
      <c r="A6" s="2" t="s">
        <v>96</v>
      </c>
      <c r="B6" t="s">
        <v>94</v>
      </c>
      <c r="C6" s="42">
        <v>293696</v>
      </c>
    </row>
    <row r="7" spans="1:3" x14ac:dyDescent="0.35">
      <c r="A7" s="2" t="s">
        <v>96</v>
      </c>
      <c r="B7" t="s">
        <v>95</v>
      </c>
      <c r="C7" s="42">
        <v>257802</v>
      </c>
    </row>
    <row r="8" spans="1:3" x14ac:dyDescent="0.35">
      <c r="A8" s="2" t="s">
        <v>97</v>
      </c>
      <c r="B8" t="s">
        <v>94</v>
      </c>
      <c r="C8" s="42">
        <v>291456</v>
      </c>
    </row>
    <row r="9" spans="1:3" x14ac:dyDescent="0.35">
      <c r="A9" s="2" t="s">
        <v>97</v>
      </c>
      <c r="B9" t="s">
        <v>95</v>
      </c>
      <c r="C9" s="42">
        <v>252786</v>
      </c>
    </row>
    <row r="10" spans="1:3" x14ac:dyDescent="0.35">
      <c r="A10" s="2" t="s">
        <v>98</v>
      </c>
      <c r="B10" t="s">
        <v>94</v>
      </c>
      <c r="C10" s="42">
        <v>287712</v>
      </c>
    </row>
    <row r="11" spans="1:3" x14ac:dyDescent="0.35">
      <c r="A11" s="2" t="s">
        <v>98</v>
      </c>
      <c r="B11" t="s">
        <v>95</v>
      </c>
      <c r="C11" s="42">
        <v>250337</v>
      </c>
    </row>
    <row r="12" spans="1:3" x14ac:dyDescent="0.35">
      <c r="A12" s="2" t="s">
        <v>99</v>
      </c>
      <c r="B12" t="s">
        <v>94</v>
      </c>
      <c r="C12" s="42">
        <v>282062</v>
      </c>
    </row>
    <row r="13" spans="1:3" x14ac:dyDescent="0.35">
      <c r="A13" s="2" t="s">
        <v>99</v>
      </c>
      <c r="B13" t="s">
        <v>95</v>
      </c>
      <c r="C13" s="42">
        <v>243842</v>
      </c>
    </row>
    <row r="14" spans="1:3" x14ac:dyDescent="0.35">
      <c r="A14" s="2" t="s">
        <v>100</v>
      </c>
      <c r="B14" t="s">
        <v>94</v>
      </c>
      <c r="C14" s="42">
        <v>277206</v>
      </c>
    </row>
    <row r="15" spans="1:3" x14ac:dyDescent="0.35">
      <c r="A15" s="2" t="s">
        <v>100</v>
      </c>
      <c r="B15" t="s">
        <v>95</v>
      </c>
      <c r="C15" s="42">
        <v>235933</v>
      </c>
    </row>
    <row r="16" spans="1:3" x14ac:dyDescent="0.35">
      <c r="A16" s="2" t="s">
        <v>101</v>
      </c>
      <c r="B16" t="s">
        <v>94</v>
      </c>
      <c r="C16" s="42">
        <v>270180</v>
      </c>
    </row>
    <row r="17" spans="1:3" x14ac:dyDescent="0.35">
      <c r="A17" s="2" t="s">
        <v>101</v>
      </c>
      <c r="B17" t="s">
        <v>95</v>
      </c>
      <c r="C17" s="42">
        <v>247823</v>
      </c>
    </row>
    <row r="18" spans="1:3" x14ac:dyDescent="0.35">
      <c r="A18" s="2" t="s">
        <v>102</v>
      </c>
      <c r="B18" t="s">
        <v>94</v>
      </c>
      <c r="C18" s="42">
        <v>256558</v>
      </c>
    </row>
    <row r="19" spans="1:3" x14ac:dyDescent="0.35">
      <c r="A19" s="2" t="s">
        <v>102</v>
      </c>
      <c r="B19" t="s">
        <v>95</v>
      </c>
      <c r="C19" s="42">
        <v>230288</v>
      </c>
    </row>
    <row r="20" spans="1:3" x14ac:dyDescent="0.35">
      <c r="A20" s="2" t="s">
        <v>103</v>
      </c>
      <c r="B20" t="s">
        <v>94</v>
      </c>
      <c r="C20" s="42">
        <v>262500</v>
      </c>
    </row>
    <row r="21" spans="1:3" x14ac:dyDescent="0.35">
      <c r="A21" s="2" t="s">
        <v>103</v>
      </c>
      <c r="B21" t="s">
        <v>95</v>
      </c>
      <c r="C21" s="42">
        <v>242157</v>
      </c>
    </row>
    <row r="22" spans="1:3" x14ac:dyDescent="0.35">
      <c r="A22" s="2" t="s">
        <v>104</v>
      </c>
      <c r="B22" t="s">
        <v>94</v>
      </c>
      <c r="C22" s="42">
        <v>273825</v>
      </c>
    </row>
    <row r="23" spans="1:3" x14ac:dyDescent="0.35">
      <c r="A23" s="2" t="s">
        <v>104</v>
      </c>
      <c r="B23" t="s">
        <v>95</v>
      </c>
      <c r="C23" s="42">
        <v>258060</v>
      </c>
    </row>
    <row r="24" spans="1:3" x14ac:dyDescent="0.35">
      <c r="A24" s="2" t="s">
        <v>105</v>
      </c>
      <c r="B24" t="s">
        <v>94</v>
      </c>
      <c r="C24" s="42">
        <v>291140</v>
      </c>
    </row>
    <row r="25" spans="1:3" x14ac:dyDescent="0.35">
      <c r="A25" s="8" t="s">
        <v>105</v>
      </c>
      <c r="B25" s="10" t="s">
        <v>95</v>
      </c>
      <c r="C25" s="43">
        <v>278376</v>
      </c>
    </row>
    <row r="27" spans="1:3" x14ac:dyDescent="0.35">
      <c r="A27" t="s">
        <v>63</v>
      </c>
    </row>
    <row r="29" spans="1:3" x14ac:dyDescent="0.35">
      <c r="A2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0"/>
  <sheetViews>
    <sheetView workbookViewId="0"/>
  </sheetViews>
  <sheetFormatPr defaultColWidth="10.90625" defaultRowHeight="14.5" x14ac:dyDescent="0.35"/>
  <cols>
    <col min="1" max="1" width="6.7265625" style="172" customWidth="1"/>
    <col min="2" max="2" width="78" bestFit="1" customWidth="1"/>
    <col min="3" max="3" width="116.26953125" bestFit="1" customWidth="1"/>
    <col min="4" max="4" width="133.7265625" customWidth="1"/>
  </cols>
  <sheetData>
    <row r="1" spans="1:4" x14ac:dyDescent="0.35">
      <c r="A1" s="172" t="s">
        <v>107</v>
      </c>
    </row>
    <row r="3" spans="1:4" x14ac:dyDescent="0.35">
      <c r="A3" s="173" t="s">
        <v>1</v>
      </c>
      <c r="B3" s="4" t="s">
        <v>108</v>
      </c>
      <c r="C3" s="4" t="s">
        <v>109</v>
      </c>
      <c r="D3" s="6" t="s">
        <v>110</v>
      </c>
    </row>
    <row r="4" spans="1:4" x14ac:dyDescent="0.35">
      <c r="A4" s="174">
        <v>2013</v>
      </c>
      <c r="B4" s="44">
        <v>266.08999999999997</v>
      </c>
      <c r="C4" s="44">
        <v>49.7</v>
      </c>
      <c r="D4" s="45">
        <v>19.899999999999999</v>
      </c>
    </row>
    <row r="5" spans="1:4" x14ac:dyDescent="0.35">
      <c r="A5" s="174">
        <v>2014</v>
      </c>
      <c r="B5" s="44">
        <v>260.91000000000003</v>
      </c>
      <c r="C5" s="44">
        <v>76</v>
      </c>
      <c r="D5" s="45">
        <v>28.8</v>
      </c>
    </row>
    <row r="6" spans="1:4" x14ac:dyDescent="0.35">
      <c r="A6" s="174">
        <v>2015</v>
      </c>
      <c r="B6" s="44">
        <v>255.97</v>
      </c>
      <c r="C6" s="44">
        <v>109.1</v>
      </c>
      <c r="D6" s="45">
        <v>39.4</v>
      </c>
    </row>
    <row r="7" spans="1:4" x14ac:dyDescent="0.35">
      <c r="A7" s="174">
        <v>2016</v>
      </c>
      <c r="B7" s="44">
        <v>253.72</v>
      </c>
      <c r="C7" s="44">
        <v>145.69999999999999</v>
      </c>
      <c r="D7" s="45">
        <v>50.6</v>
      </c>
    </row>
    <row r="8" spans="1:4" x14ac:dyDescent="0.35">
      <c r="A8" s="174">
        <v>2017</v>
      </c>
      <c r="B8" s="44">
        <v>247.41</v>
      </c>
      <c r="C8" s="44">
        <v>179.8</v>
      </c>
      <c r="D8" s="45">
        <v>61.1</v>
      </c>
    </row>
    <row r="9" spans="1:4" x14ac:dyDescent="0.35">
      <c r="A9" s="174">
        <v>2018</v>
      </c>
      <c r="B9" s="44">
        <v>240.25</v>
      </c>
      <c r="C9" s="44">
        <v>211.9</v>
      </c>
      <c r="D9" s="45">
        <v>70.3</v>
      </c>
    </row>
    <row r="10" spans="1:4" x14ac:dyDescent="0.35">
      <c r="A10" s="174">
        <v>2019</v>
      </c>
      <c r="B10" s="44">
        <v>252.94</v>
      </c>
      <c r="C10" s="44">
        <v>246.3</v>
      </c>
      <c r="D10" s="45">
        <v>79.900000000000006</v>
      </c>
    </row>
    <row r="11" spans="1:4" x14ac:dyDescent="0.35">
      <c r="A11" s="174">
        <v>2020</v>
      </c>
      <c r="B11" s="44">
        <v>234.93</v>
      </c>
      <c r="C11" s="44">
        <v>288.39999999999998</v>
      </c>
      <c r="D11" s="45">
        <v>95.3</v>
      </c>
    </row>
    <row r="12" spans="1:4" x14ac:dyDescent="0.35">
      <c r="A12" s="174">
        <v>2021</v>
      </c>
      <c r="B12" s="44">
        <v>249.78</v>
      </c>
      <c r="C12" s="44">
        <v>272.10000000000002</v>
      </c>
      <c r="D12" s="45">
        <v>88.6</v>
      </c>
    </row>
    <row r="13" spans="1:4" x14ac:dyDescent="0.35">
      <c r="A13" s="174">
        <v>2022</v>
      </c>
      <c r="B13" s="44">
        <v>268.56</v>
      </c>
      <c r="C13" s="44">
        <v>267.10000000000002</v>
      </c>
      <c r="D13" s="45">
        <v>86.1</v>
      </c>
    </row>
    <row r="14" spans="1:4" x14ac:dyDescent="0.35">
      <c r="A14" s="175">
        <v>2023</v>
      </c>
      <c r="B14" s="46">
        <v>289.8</v>
      </c>
      <c r="C14" s="46">
        <v>266.5</v>
      </c>
      <c r="D14" s="47">
        <v>85.3</v>
      </c>
    </row>
    <row r="16" spans="1:4" x14ac:dyDescent="0.35">
      <c r="A16" s="172" t="s">
        <v>63</v>
      </c>
    </row>
    <row r="18" spans="1:1" x14ac:dyDescent="0.35">
      <c r="A18" s="172" t="s">
        <v>111</v>
      </c>
    </row>
    <row r="20" spans="1:1" x14ac:dyDescent="0.35">
      <c r="A20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workbookViewId="0"/>
  </sheetViews>
  <sheetFormatPr defaultColWidth="10.90625" defaultRowHeight="14.5" x14ac:dyDescent="0.35"/>
  <cols>
    <col min="1" max="1" width="6.7265625" style="172" customWidth="1"/>
    <col min="2" max="2" width="70.7265625" customWidth="1"/>
    <col min="3" max="3" width="44.7265625" customWidth="1"/>
    <col min="4" max="4" width="19.7265625" customWidth="1"/>
    <col min="5" max="5" width="25.7265625" customWidth="1"/>
    <col min="6" max="6" width="12.7265625" customWidth="1"/>
  </cols>
  <sheetData>
    <row r="1" spans="1:6" x14ac:dyDescent="0.35">
      <c r="A1" s="172" t="s">
        <v>112</v>
      </c>
    </row>
    <row r="3" spans="1:6" x14ac:dyDescent="0.35">
      <c r="A3" s="173" t="s">
        <v>1</v>
      </c>
      <c r="B3" s="4" t="s">
        <v>113</v>
      </c>
      <c r="C3" s="4" t="s">
        <v>114</v>
      </c>
      <c r="D3" s="4" t="s">
        <v>115</v>
      </c>
      <c r="E3" s="4" t="s">
        <v>116</v>
      </c>
      <c r="F3" s="6" t="s">
        <v>117</v>
      </c>
    </row>
    <row r="4" spans="1:6" x14ac:dyDescent="0.35">
      <c r="A4" s="174">
        <v>2013</v>
      </c>
      <c r="B4" s="183">
        <v>282.3</v>
      </c>
      <c r="C4" s="183">
        <v>18.8</v>
      </c>
      <c r="D4" s="183">
        <v>13.6</v>
      </c>
      <c r="E4" s="183">
        <v>4.9000000000000004</v>
      </c>
      <c r="F4" s="187">
        <v>4</v>
      </c>
    </row>
    <row r="5" spans="1:6" x14ac:dyDescent="0.35">
      <c r="A5" s="174">
        <v>2014</v>
      </c>
      <c r="B5" s="183">
        <v>281.60000000000002</v>
      </c>
      <c r="C5" s="183">
        <v>18.8</v>
      </c>
      <c r="D5" s="183">
        <v>14.2</v>
      </c>
      <c r="E5" s="183">
        <v>5.2</v>
      </c>
      <c r="F5" s="187">
        <v>4.4000000000000004</v>
      </c>
    </row>
    <row r="6" spans="1:6" x14ac:dyDescent="0.35">
      <c r="A6" s="174">
        <v>2015</v>
      </c>
      <c r="B6" s="183">
        <v>279.10000000000002</v>
      </c>
      <c r="C6" s="183">
        <v>18.7</v>
      </c>
      <c r="D6" s="183">
        <v>13.9</v>
      </c>
      <c r="E6" s="183">
        <v>5.2</v>
      </c>
      <c r="F6" s="187">
        <v>5</v>
      </c>
    </row>
    <row r="7" spans="1:6" x14ac:dyDescent="0.35">
      <c r="A7" s="174">
        <v>2016</v>
      </c>
      <c r="B7" s="183">
        <v>274.60000000000002</v>
      </c>
      <c r="C7" s="183">
        <v>18.2</v>
      </c>
      <c r="D7" s="183">
        <v>14.7</v>
      </c>
      <c r="E7" s="183">
        <v>5.3</v>
      </c>
      <c r="F7" s="187">
        <v>5.5</v>
      </c>
    </row>
    <row r="8" spans="1:6" x14ac:dyDescent="0.35">
      <c r="A8" s="174">
        <v>2017</v>
      </c>
      <c r="B8" s="183">
        <v>269.2</v>
      </c>
      <c r="C8" s="183">
        <v>18.3</v>
      </c>
      <c r="D8" s="183">
        <v>14.3</v>
      </c>
      <c r="E8" s="183">
        <v>5.2</v>
      </c>
      <c r="F8" s="187">
        <v>5.9</v>
      </c>
    </row>
    <row r="9" spans="1:6" x14ac:dyDescent="0.35">
      <c r="A9" s="174">
        <v>2018</v>
      </c>
      <c r="B9" s="183">
        <v>264.89999999999998</v>
      </c>
      <c r="C9" s="183">
        <v>18.2</v>
      </c>
      <c r="D9" s="183">
        <v>13.8</v>
      </c>
      <c r="E9" s="183">
        <v>5.3</v>
      </c>
      <c r="F9" s="187">
        <v>6.5</v>
      </c>
    </row>
    <row r="10" spans="1:6" x14ac:dyDescent="0.35">
      <c r="A10" s="174">
        <v>2019</v>
      </c>
      <c r="B10" s="183">
        <v>259.39999999999998</v>
      </c>
      <c r="C10" s="183">
        <v>17.7</v>
      </c>
      <c r="D10" s="183">
        <v>13.6</v>
      </c>
      <c r="E10" s="183">
        <v>5.5</v>
      </c>
      <c r="F10" s="187">
        <v>6.1</v>
      </c>
    </row>
    <row r="11" spans="1:6" x14ac:dyDescent="0.35">
      <c r="A11" s="174">
        <v>2020</v>
      </c>
      <c r="B11" s="183">
        <v>248.3</v>
      </c>
      <c r="C11" s="183">
        <v>13.7</v>
      </c>
      <c r="D11" s="183">
        <v>11.8</v>
      </c>
      <c r="E11" s="183">
        <v>4.0999999999999996</v>
      </c>
      <c r="F11" s="187">
        <v>7</v>
      </c>
    </row>
    <row r="12" spans="1:6" x14ac:dyDescent="0.35">
      <c r="A12" s="174">
        <v>2021</v>
      </c>
      <c r="B12" s="183">
        <v>256.7</v>
      </c>
      <c r="C12" s="183">
        <v>15</v>
      </c>
      <c r="D12" s="183">
        <v>13.3</v>
      </c>
      <c r="E12" s="183">
        <v>4.7</v>
      </c>
      <c r="F12" s="187">
        <v>7.1</v>
      </c>
    </row>
    <row r="13" spans="1:6" x14ac:dyDescent="0.35">
      <c r="A13" s="174">
        <v>2022</v>
      </c>
      <c r="B13" s="183">
        <v>269.8</v>
      </c>
      <c r="C13" s="183">
        <v>17.2</v>
      </c>
      <c r="D13" s="183">
        <v>15.2</v>
      </c>
      <c r="E13" s="183">
        <v>5.7</v>
      </c>
      <c r="F13" s="187">
        <v>7.3</v>
      </c>
    </row>
    <row r="14" spans="1:6" x14ac:dyDescent="0.35">
      <c r="A14" s="175">
        <v>2023</v>
      </c>
      <c r="B14" s="184">
        <v>286</v>
      </c>
      <c r="C14" s="184">
        <v>17.600000000000001</v>
      </c>
      <c r="D14" s="184">
        <v>16.100000000000001</v>
      </c>
      <c r="E14" s="184">
        <v>6.3</v>
      </c>
      <c r="F14" s="188">
        <v>8.3000000000000007</v>
      </c>
    </row>
    <row r="16" spans="1:6" x14ac:dyDescent="0.35">
      <c r="A16" s="172" t="s">
        <v>63</v>
      </c>
    </row>
    <row r="18" spans="1:1" x14ac:dyDescent="0.35">
      <c r="A18" s="172" t="s">
        <v>118</v>
      </c>
    </row>
    <row r="19" spans="1:1" x14ac:dyDescent="0.35">
      <c r="A19" s="172" t="s">
        <v>119</v>
      </c>
    </row>
    <row r="20" spans="1:1" x14ac:dyDescent="0.35">
      <c r="A20" s="172" t="s">
        <v>120</v>
      </c>
    </row>
    <row r="21" spans="1:1" x14ac:dyDescent="0.35">
      <c r="A21" s="172" t="s">
        <v>121</v>
      </c>
    </row>
    <row r="22" spans="1:1" x14ac:dyDescent="0.35">
      <c r="A22" s="172" t="s">
        <v>122</v>
      </c>
    </row>
    <row r="24" spans="1:1" x14ac:dyDescent="0.35">
      <c r="A24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0"/>
  <sheetViews>
    <sheetView workbookViewId="0"/>
  </sheetViews>
  <sheetFormatPr defaultColWidth="10.90625" defaultRowHeight="14.5" x14ac:dyDescent="0.35"/>
  <cols>
    <col min="1" max="1" width="6.7265625" style="172" customWidth="1"/>
    <col min="2" max="2" width="57.7265625" customWidth="1"/>
    <col min="3" max="3" width="99.7265625" customWidth="1"/>
    <col min="4" max="4" width="118.7265625" customWidth="1"/>
  </cols>
  <sheetData>
    <row r="1" spans="1:4" x14ac:dyDescent="0.35">
      <c r="A1" s="172" t="s">
        <v>123</v>
      </c>
    </row>
    <row r="3" spans="1:4" x14ac:dyDescent="0.35">
      <c r="A3" s="173" t="s">
        <v>1</v>
      </c>
      <c r="B3" s="4" t="s">
        <v>124</v>
      </c>
      <c r="C3" s="4" t="s">
        <v>125</v>
      </c>
      <c r="D3" s="6" t="s">
        <v>126</v>
      </c>
    </row>
    <row r="4" spans="1:4" x14ac:dyDescent="0.35">
      <c r="A4" s="174">
        <v>2013</v>
      </c>
      <c r="B4" s="48">
        <v>520.57000000000005</v>
      </c>
      <c r="C4" s="48">
        <v>103.8</v>
      </c>
      <c r="D4" s="49">
        <v>40.799999999999997</v>
      </c>
    </row>
    <row r="5" spans="1:4" x14ac:dyDescent="0.35">
      <c r="A5" s="174">
        <v>2014</v>
      </c>
      <c r="B5" s="48">
        <v>503.15</v>
      </c>
      <c r="C5" s="48">
        <v>171.1</v>
      </c>
      <c r="D5" s="49">
        <v>63.8</v>
      </c>
    </row>
    <row r="6" spans="1:4" x14ac:dyDescent="0.35">
      <c r="A6" s="174">
        <v>2015</v>
      </c>
      <c r="B6" s="48">
        <v>475.92</v>
      </c>
      <c r="C6" s="48">
        <v>257.60000000000002</v>
      </c>
      <c r="D6" s="49">
        <v>91.7</v>
      </c>
    </row>
    <row r="7" spans="1:4" x14ac:dyDescent="0.35">
      <c r="A7" s="174">
        <v>2016</v>
      </c>
      <c r="B7" s="48">
        <v>462.9</v>
      </c>
      <c r="C7" s="48">
        <v>361</v>
      </c>
      <c r="D7" s="49">
        <v>124.4</v>
      </c>
    </row>
    <row r="8" spans="1:4" x14ac:dyDescent="0.35">
      <c r="A8" s="174">
        <v>2017</v>
      </c>
      <c r="B8" s="48">
        <v>440.73</v>
      </c>
      <c r="C8" s="48">
        <v>464.6</v>
      </c>
      <c r="D8" s="49">
        <v>156</v>
      </c>
    </row>
    <row r="9" spans="1:4" x14ac:dyDescent="0.35">
      <c r="A9" s="174">
        <v>2018</v>
      </c>
      <c r="B9" s="48">
        <v>415.15</v>
      </c>
      <c r="C9" s="48">
        <v>552.29999999999995</v>
      </c>
      <c r="D9" s="49">
        <v>181.3</v>
      </c>
    </row>
    <row r="10" spans="1:4" x14ac:dyDescent="0.35">
      <c r="A10" s="174">
        <v>2019</v>
      </c>
      <c r="B10" s="48">
        <v>429.86</v>
      </c>
      <c r="C10" s="48">
        <v>648.6</v>
      </c>
      <c r="D10" s="49">
        <v>208.5</v>
      </c>
    </row>
    <row r="11" spans="1:4" x14ac:dyDescent="0.35">
      <c r="A11" s="174">
        <v>2020</v>
      </c>
      <c r="B11" s="48">
        <v>404.21</v>
      </c>
      <c r="C11" s="48">
        <v>739.9</v>
      </c>
      <c r="D11" s="49">
        <v>243.3</v>
      </c>
    </row>
    <row r="12" spans="1:4" x14ac:dyDescent="0.35">
      <c r="A12" s="174">
        <v>2021</v>
      </c>
      <c r="B12" s="48">
        <v>416.26</v>
      </c>
      <c r="C12" s="48">
        <v>680.2</v>
      </c>
      <c r="D12" s="49">
        <v>221.7</v>
      </c>
    </row>
    <row r="13" spans="1:4" x14ac:dyDescent="0.35">
      <c r="A13" s="174">
        <v>2022</v>
      </c>
      <c r="B13" s="48">
        <v>445.17</v>
      </c>
      <c r="C13" s="48">
        <v>662.3</v>
      </c>
      <c r="D13" s="49">
        <v>214.6</v>
      </c>
    </row>
    <row r="14" spans="1:4" x14ac:dyDescent="0.35">
      <c r="A14" s="175">
        <v>2023</v>
      </c>
      <c r="B14" s="50">
        <v>476.84</v>
      </c>
      <c r="C14" s="50">
        <v>645.5</v>
      </c>
      <c r="D14" s="51">
        <v>208.7</v>
      </c>
    </row>
    <row r="16" spans="1:4" x14ac:dyDescent="0.35">
      <c r="A16" s="172" t="s">
        <v>63</v>
      </c>
    </row>
    <row r="18" spans="1:1" x14ac:dyDescent="0.35">
      <c r="A18" s="172" t="s">
        <v>111</v>
      </c>
    </row>
    <row r="20" spans="1:1" x14ac:dyDescent="0.35">
      <c r="A20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9"/>
  <sheetViews>
    <sheetView workbookViewId="0"/>
  </sheetViews>
  <sheetFormatPr defaultColWidth="10.90625" defaultRowHeight="14.5" x14ac:dyDescent="0.35"/>
  <cols>
    <col min="1" max="1" width="6.7265625" style="172" customWidth="1"/>
    <col min="2" max="2" width="18.7265625" customWidth="1"/>
    <col min="3" max="3" width="23.7265625" customWidth="1"/>
  </cols>
  <sheetData>
    <row r="1" spans="1:3" x14ac:dyDescent="0.35">
      <c r="A1" s="172" t="s">
        <v>127</v>
      </c>
    </row>
    <row r="3" spans="1:3" x14ac:dyDescent="0.35">
      <c r="A3" s="173" t="s">
        <v>1</v>
      </c>
      <c r="B3" s="4" t="s">
        <v>92</v>
      </c>
      <c r="C3" s="6" t="s">
        <v>128</v>
      </c>
    </row>
    <row r="4" spans="1:3" x14ac:dyDescent="0.35">
      <c r="A4" s="174">
        <v>2014</v>
      </c>
      <c r="B4" t="s">
        <v>129</v>
      </c>
      <c r="C4" s="52">
        <v>-3.3000000000000002E-2</v>
      </c>
    </row>
    <row r="5" spans="1:3" x14ac:dyDescent="0.35">
      <c r="A5" s="174">
        <v>2014</v>
      </c>
      <c r="B5" t="s">
        <v>130</v>
      </c>
      <c r="C5" s="52">
        <v>4.2000000000000003E-2</v>
      </c>
    </row>
    <row r="6" spans="1:3" x14ac:dyDescent="0.35">
      <c r="A6" s="174">
        <v>2015</v>
      </c>
      <c r="B6" t="s">
        <v>129</v>
      </c>
      <c r="C6" s="52">
        <v>-8.5000000000000006E-2</v>
      </c>
    </row>
    <row r="7" spans="1:3" x14ac:dyDescent="0.35">
      <c r="A7" s="174">
        <v>2015</v>
      </c>
      <c r="B7" t="s">
        <v>130</v>
      </c>
      <c r="C7" s="52">
        <v>2.1999999999999999E-2</v>
      </c>
    </row>
    <row r="8" spans="1:3" x14ac:dyDescent="0.35">
      <c r="A8" s="174">
        <v>2016</v>
      </c>
      <c r="B8" t="s">
        <v>129</v>
      </c>
      <c r="C8" s="52">
        <v>-0.11</v>
      </c>
    </row>
    <row r="9" spans="1:3" x14ac:dyDescent="0.35">
      <c r="A9" s="174">
        <v>2016</v>
      </c>
      <c r="B9" t="s">
        <v>130</v>
      </c>
      <c r="C9" s="52">
        <v>8.3000000000000004E-2</v>
      </c>
    </row>
    <row r="10" spans="1:3" x14ac:dyDescent="0.35">
      <c r="A10" s="174">
        <v>2017</v>
      </c>
      <c r="B10" t="s">
        <v>129</v>
      </c>
      <c r="C10" s="52">
        <v>-0.152</v>
      </c>
    </row>
    <row r="11" spans="1:3" x14ac:dyDescent="0.35">
      <c r="A11" s="174">
        <v>2017</v>
      </c>
      <c r="B11" t="s">
        <v>130</v>
      </c>
      <c r="C11" s="52">
        <v>5.1999999999999998E-2</v>
      </c>
    </row>
    <row r="12" spans="1:3" x14ac:dyDescent="0.35">
      <c r="A12" s="174">
        <v>2018</v>
      </c>
      <c r="B12" t="s">
        <v>129</v>
      </c>
      <c r="C12" s="52">
        <v>-0.2</v>
      </c>
    </row>
    <row r="13" spans="1:3" x14ac:dyDescent="0.35">
      <c r="A13" s="174">
        <v>2018</v>
      </c>
      <c r="B13" t="s">
        <v>130</v>
      </c>
      <c r="C13" s="52">
        <v>1.4E-2</v>
      </c>
    </row>
    <row r="14" spans="1:3" x14ac:dyDescent="0.35">
      <c r="A14" s="174">
        <v>2019</v>
      </c>
      <c r="B14" t="s">
        <v>129</v>
      </c>
      <c r="C14" s="52">
        <v>-0.17199999999999999</v>
      </c>
    </row>
    <row r="15" spans="1:3" x14ac:dyDescent="0.35">
      <c r="A15" s="174">
        <v>2019</v>
      </c>
      <c r="B15" t="s">
        <v>130</v>
      </c>
      <c r="C15" s="52">
        <v>0.01</v>
      </c>
    </row>
    <row r="16" spans="1:3" x14ac:dyDescent="0.35">
      <c r="A16" s="174">
        <v>2020</v>
      </c>
      <c r="B16" t="s">
        <v>129</v>
      </c>
      <c r="C16" s="52">
        <v>-0.221</v>
      </c>
    </row>
    <row r="17" spans="1:3" x14ac:dyDescent="0.35">
      <c r="A17" s="174">
        <v>2020</v>
      </c>
      <c r="B17" t="s">
        <v>130</v>
      </c>
      <c r="C17" s="52">
        <v>-0.11899999999999999</v>
      </c>
    </row>
    <row r="18" spans="1:3" x14ac:dyDescent="0.35">
      <c r="A18" s="174">
        <v>2021</v>
      </c>
      <c r="B18" t="s">
        <v>129</v>
      </c>
      <c r="C18" s="52">
        <v>-0.19700000000000001</v>
      </c>
    </row>
    <row r="19" spans="1:3" x14ac:dyDescent="0.35">
      <c r="A19" s="174">
        <v>2021</v>
      </c>
      <c r="B19" t="s">
        <v>130</v>
      </c>
      <c r="C19" s="52">
        <v>5.0000000000000001E-3</v>
      </c>
    </row>
    <row r="20" spans="1:3" x14ac:dyDescent="0.35">
      <c r="A20" s="174">
        <v>2022</v>
      </c>
      <c r="B20" t="s">
        <v>129</v>
      </c>
      <c r="C20" s="52">
        <v>-0.14199999999999999</v>
      </c>
    </row>
    <row r="21" spans="1:3" x14ac:dyDescent="0.35">
      <c r="A21" s="174">
        <v>2022</v>
      </c>
      <c r="B21" t="s">
        <v>130</v>
      </c>
      <c r="C21" s="52">
        <v>0.13200000000000001</v>
      </c>
    </row>
    <row r="22" spans="1:3" x14ac:dyDescent="0.35">
      <c r="A22" s="174">
        <v>2023</v>
      </c>
      <c r="B22" t="s">
        <v>129</v>
      </c>
      <c r="C22" s="52">
        <v>-8.2000000000000003E-2</v>
      </c>
    </row>
    <row r="23" spans="1:3" x14ac:dyDescent="0.35">
      <c r="A23" s="174">
        <v>2023</v>
      </c>
      <c r="B23" t="s">
        <v>130</v>
      </c>
      <c r="C23" s="52">
        <v>0.193</v>
      </c>
    </row>
    <row r="24" spans="1:3" x14ac:dyDescent="0.35">
      <c r="A24" s="174">
        <v>2014</v>
      </c>
      <c r="B24" t="s">
        <v>131</v>
      </c>
      <c r="C24" s="52">
        <v>0.56399999999999995</v>
      </c>
    </row>
    <row r="25" spans="1:3" x14ac:dyDescent="0.35">
      <c r="A25" s="174">
        <v>2015</v>
      </c>
      <c r="B25" t="s">
        <v>131</v>
      </c>
      <c r="C25" s="52">
        <v>1.248</v>
      </c>
    </row>
    <row r="26" spans="1:3" x14ac:dyDescent="0.35">
      <c r="A26" s="174">
        <v>2016</v>
      </c>
      <c r="B26" t="s">
        <v>131</v>
      </c>
      <c r="C26" s="52">
        <v>2.0489999999999999</v>
      </c>
    </row>
    <row r="27" spans="1:3" x14ac:dyDescent="0.35">
      <c r="A27" s="174">
        <v>2017</v>
      </c>
      <c r="B27" t="s">
        <v>131</v>
      </c>
      <c r="C27" s="52">
        <v>2.8239999999999998</v>
      </c>
    </row>
    <row r="28" spans="1:3" x14ac:dyDescent="0.35">
      <c r="A28" s="174">
        <v>2018</v>
      </c>
      <c r="B28" t="s">
        <v>131</v>
      </c>
      <c r="C28" s="52">
        <v>3.444</v>
      </c>
    </row>
    <row r="29" spans="1:3" x14ac:dyDescent="0.35">
      <c r="A29" s="174">
        <v>2019</v>
      </c>
      <c r="B29" t="s">
        <v>131</v>
      </c>
      <c r="C29" s="52">
        <v>4.1100000000000003</v>
      </c>
    </row>
    <row r="30" spans="1:3" x14ac:dyDescent="0.35">
      <c r="A30" s="174">
        <v>2020</v>
      </c>
      <c r="B30" t="s">
        <v>131</v>
      </c>
      <c r="C30" s="52">
        <v>4.9630000000000001</v>
      </c>
    </row>
    <row r="31" spans="1:3" x14ac:dyDescent="0.35">
      <c r="A31" s="174">
        <v>2021</v>
      </c>
      <c r="B31" t="s">
        <v>131</v>
      </c>
      <c r="C31" s="52">
        <v>4.4340000000000002</v>
      </c>
    </row>
    <row r="32" spans="1:3" x14ac:dyDescent="0.35">
      <c r="A32" s="174">
        <v>2022</v>
      </c>
      <c r="B32" t="s">
        <v>131</v>
      </c>
      <c r="C32" s="52">
        <v>4.26</v>
      </c>
    </row>
    <row r="33" spans="1:3" x14ac:dyDescent="0.35">
      <c r="A33" s="175">
        <v>2023</v>
      </c>
      <c r="B33" s="10" t="s">
        <v>131</v>
      </c>
      <c r="C33" s="53">
        <v>4.1150000000000002</v>
      </c>
    </row>
    <row r="35" spans="1:3" x14ac:dyDescent="0.35">
      <c r="A35" s="172" t="s">
        <v>63</v>
      </c>
    </row>
    <row r="37" spans="1:3" x14ac:dyDescent="0.35">
      <c r="A37" s="172" t="s">
        <v>132</v>
      </c>
    </row>
    <row r="39" spans="1:3" x14ac:dyDescent="0.35">
      <c r="A39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4"/>
  <sheetViews>
    <sheetView workbookViewId="0"/>
  </sheetViews>
  <sheetFormatPr defaultColWidth="10.90625" defaultRowHeight="14.5" x14ac:dyDescent="0.35"/>
  <cols>
    <col min="1" max="1" width="6.7265625" style="172" customWidth="1"/>
    <col min="2" max="2" width="51.7265625" customWidth="1"/>
    <col min="3" max="3" width="68.7265625" customWidth="1"/>
    <col min="4" max="4" width="62.7265625" customWidth="1"/>
    <col min="5" max="5" width="43.7265625" customWidth="1"/>
    <col min="6" max="6" width="30.7265625" customWidth="1"/>
    <col min="7" max="7" width="38.7265625" customWidth="1"/>
  </cols>
  <sheetData>
    <row r="1" spans="1:7" x14ac:dyDescent="0.35">
      <c r="A1" s="172" t="s">
        <v>133</v>
      </c>
    </row>
    <row r="3" spans="1:7" x14ac:dyDescent="0.35">
      <c r="A3" s="173" t="s">
        <v>1</v>
      </c>
      <c r="B3" s="4" t="s">
        <v>134</v>
      </c>
      <c r="C3" s="4" t="s">
        <v>135</v>
      </c>
      <c r="D3" s="4" t="s">
        <v>136</v>
      </c>
      <c r="E3" s="4" t="s">
        <v>137</v>
      </c>
      <c r="F3" s="4" t="s">
        <v>138</v>
      </c>
      <c r="G3" s="6" t="s">
        <v>139</v>
      </c>
    </row>
    <row r="4" spans="1:7" x14ac:dyDescent="0.35">
      <c r="A4" s="174">
        <v>2013</v>
      </c>
      <c r="B4" s="54">
        <v>1120.3</v>
      </c>
      <c r="C4" s="54">
        <v>22.5</v>
      </c>
      <c r="D4" s="54">
        <v>835.5</v>
      </c>
      <c r="E4" s="54">
        <v>218.8</v>
      </c>
      <c r="F4" s="54">
        <v>34.200000000000003</v>
      </c>
      <c r="G4" s="55">
        <v>15.2</v>
      </c>
    </row>
    <row r="5" spans="1:7" x14ac:dyDescent="0.35">
      <c r="A5" s="174">
        <v>2014</v>
      </c>
      <c r="B5" s="54">
        <v>1136.2</v>
      </c>
      <c r="C5" s="54">
        <v>22.4</v>
      </c>
      <c r="D5" s="54">
        <v>835.4</v>
      </c>
      <c r="E5" s="54">
        <v>232.4</v>
      </c>
      <c r="F5" s="54">
        <v>38.799999999999997</v>
      </c>
      <c r="G5" s="55">
        <v>15.8</v>
      </c>
    </row>
    <row r="6" spans="1:7" x14ac:dyDescent="0.35">
      <c r="A6" s="174">
        <v>2015</v>
      </c>
      <c r="B6" s="54">
        <v>1132.4000000000001</v>
      </c>
      <c r="C6" s="54">
        <v>22.4</v>
      </c>
      <c r="D6" s="54">
        <v>838.3</v>
      </c>
      <c r="E6" s="54">
        <v>240.9</v>
      </c>
      <c r="F6" s="54">
        <v>43.6</v>
      </c>
      <c r="G6" s="55">
        <v>15.5</v>
      </c>
    </row>
    <row r="7" spans="1:7" x14ac:dyDescent="0.35">
      <c r="A7" s="174">
        <v>2016</v>
      </c>
      <c r="B7" s="54">
        <v>1122</v>
      </c>
      <c r="C7" s="54">
        <v>21.9</v>
      </c>
      <c r="D7" s="54">
        <v>830.4</v>
      </c>
      <c r="E7" s="54">
        <v>250.6</v>
      </c>
      <c r="F7" s="54">
        <v>49.4</v>
      </c>
      <c r="G7" s="55">
        <v>16.399999999999999</v>
      </c>
    </row>
    <row r="8" spans="1:7" x14ac:dyDescent="0.35">
      <c r="A8" s="174">
        <v>2017</v>
      </c>
      <c r="B8" s="54">
        <v>1092.5</v>
      </c>
      <c r="C8" s="54">
        <v>22.1</v>
      </c>
      <c r="D8" s="54">
        <v>844.8</v>
      </c>
      <c r="E8" s="54">
        <v>244.8</v>
      </c>
      <c r="F8" s="54">
        <v>50</v>
      </c>
      <c r="G8" s="55">
        <v>16</v>
      </c>
    </row>
    <row r="9" spans="1:7" x14ac:dyDescent="0.35">
      <c r="A9" s="174">
        <v>2018</v>
      </c>
      <c r="B9" s="54">
        <v>1059.4000000000001</v>
      </c>
      <c r="C9" s="54">
        <v>22</v>
      </c>
      <c r="D9" s="54">
        <v>845.7</v>
      </c>
      <c r="E9" s="54">
        <v>253.5</v>
      </c>
      <c r="F9" s="54">
        <v>51.8</v>
      </c>
      <c r="G9" s="55">
        <v>15.4</v>
      </c>
    </row>
    <row r="10" spans="1:7" x14ac:dyDescent="0.35">
      <c r="A10" s="174">
        <v>2019</v>
      </c>
      <c r="B10" s="54">
        <v>1061.0999999999999</v>
      </c>
      <c r="C10" s="54">
        <v>21.2</v>
      </c>
      <c r="D10" s="54">
        <v>802.7</v>
      </c>
      <c r="E10" s="54">
        <v>261.60000000000002</v>
      </c>
      <c r="F10" s="54">
        <v>52.9</v>
      </c>
      <c r="G10" s="55">
        <v>15.3</v>
      </c>
    </row>
    <row r="11" spans="1:7" x14ac:dyDescent="0.35">
      <c r="A11" s="174">
        <v>2020</v>
      </c>
      <c r="B11" s="54">
        <v>1112.8</v>
      </c>
      <c r="C11" s="54">
        <v>16.100000000000001</v>
      </c>
      <c r="D11" s="54">
        <v>576.4</v>
      </c>
      <c r="E11" s="54">
        <v>181.6</v>
      </c>
      <c r="F11" s="54">
        <v>63.9</v>
      </c>
      <c r="G11" s="55">
        <v>13.4</v>
      </c>
    </row>
    <row r="12" spans="1:7" x14ac:dyDescent="0.35">
      <c r="A12" s="174">
        <v>2021</v>
      </c>
      <c r="B12" s="54">
        <v>1190.0999999999999</v>
      </c>
      <c r="C12" s="54">
        <v>17.8</v>
      </c>
      <c r="D12" s="54">
        <v>624.1</v>
      </c>
      <c r="E12" s="54">
        <v>231.8</v>
      </c>
      <c r="F12" s="54">
        <v>67.7</v>
      </c>
      <c r="G12" s="55">
        <v>15.2</v>
      </c>
    </row>
    <row r="13" spans="1:7" x14ac:dyDescent="0.35">
      <c r="A13" s="174">
        <v>2022</v>
      </c>
      <c r="B13" s="54">
        <v>1235.3</v>
      </c>
      <c r="C13" s="54">
        <v>20.2</v>
      </c>
      <c r="D13" s="54">
        <v>707.3</v>
      </c>
      <c r="E13" s="54">
        <v>279.2</v>
      </c>
      <c r="F13" s="54">
        <v>68.900000000000006</v>
      </c>
      <c r="G13" s="55">
        <v>17.2</v>
      </c>
    </row>
    <row r="14" spans="1:7" x14ac:dyDescent="0.35">
      <c r="A14" s="175">
        <v>2023</v>
      </c>
      <c r="B14" s="56">
        <v>1332.4</v>
      </c>
      <c r="C14" s="56">
        <v>20.3</v>
      </c>
      <c r="D14" s="56">
        <v>808.2</v>
      </c>
      <c r="E14" s="56">
        <v>316.10000000000002</v>
      </c>
      <c r="F14" s="56">
        <v>79.099999999999994</v>
      </c>
      <c r="G14" s="57">
        <v>18.100000000000001</v>
      </c>
    </row>
    <row r="16" spans="1:7" x14ac:dyDescent="0.35">
      <c r="A16" s="172" t="s">
        <v>63</v>
      </c>
    </row>
    <row r="18" spans="1:1" x14ac:dyDescent="0.35">
      <c r="A18" s="172" t="s">
        <v>118</v>
      </c>
    </row>
    <row r="19" spans="1:1" x14ac:dyDescent="0.35">
      <c r="A19" s="172" t="s">
        <v>119</v>
      </c>
    </row>
    <row r="20" spans="1:1" x14ac:dyDescent="0.35">
      <c r="A20" s="172" t="s">
        <v>120</v>
      </c>
    </row>
    <row r="21" spans="1:1" x14ac:dyDescent="0.35">
      <c r="A21" s="172" t="s">
        <v>121</v>
      </c>
    </row>
    <row r="22" spans="1:1" x14ac:dyDescent="0.35">
      <c r="A22" s="172" t="s">
        <v>122</v>
      </c>
    </row>
    <row r="24" spans="1:1" x14ac:dyDescent="0.35">
      <c r="A24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53"/>
  <sheetViews>
    <sheetView workbookViewId="0"/>
  </sheetViews>
  <sheetFormatPr defaultColWidth="10.90625" defaultRowHeight="14.5" x14ac:dyDescent="0.35"/>
  <cols>
    <col min="1" max="1" width="6.7265625" style="172" customWidth="1"/>
    <col min="2" max="2" width="63.7265625" customWidth="1"/>
    <col min="3" max="3" width="23.7265625" customWidth="1"/>
  </cols>
  <sheetData>
    <row r="1" spans="1:3" x14ac:dyDescent="0.35">
      <c r="A1" s="172" t="s">
        <v>140</v>
      </c>
    </row>
    <row r="3" spans="1:3" x14ac:dyDescent="0.35">
      <c r="A3" s="173" t="s">
        <v>1</v>
      </c>
      <c r="B3" s="4" t="s">
        <v>92</v>
      </c>
      <c r="C3" s="6" t="s">
        <v>128</v>
      </c>
    </row>
    <row r="4" spans="1:3" x14ac:dyDescent="0.35">
      <c r="A4" s="174">
        <v>2014</v>
      </c>
      <c r="B4" t="s">
        <v>141</v>
      </c>
      <c r="C4" s="58">
        <v>1.4E-2</v>
      </c>
    </row>
    <row r="5" spans="1:3" x14ac:dyDescent="0.35">
      <c r="A5" s="174">
        <v>2014</v>
      </c>
      <c r="B5" t="s">
        <v>142</v>
      </c>
      <c r="C5" s="58">
        <v>0</v>
      </c>
    </row>
    <row r="6" spans="1:3" x14ac:dyDescent="0.35">
      <c r="A6" s="174">
        <v>2014</v>
      </c>
      <c r="B6" t="s">
        <v>143</v>
      </c>
      <c r="C6" s="58">
        <v>6.2E-2</v>
      </c>
    </row>
    <row r="7" spans="1:3" x14ac:dyDescent="0.35">
      <c r="A7" s="174">
        <v>2014</v>
      </c>
      <c r="B7" t="s">
        <v>144</v>
      </c>
      <c r="C7" s="58">
        <v>0.13200000000000001</v>
      </c>
    </row>
    <row r="8" spans="1:3" x14ac:dyDescent="0.35">
      <c r="A8" s="174">
        <v>2015</v>
      </c>
      <c r="B8" t="s">
        <v>141</v>
      </c>
      <c r="C8" s="58">
        <v>1.0999999999999999E-2</v>
      </c>
    </row>
    <row r="9" spans="1:3" x14ac:dyDescent="0.35">
      <c r="A9" s="174">
        <v>2015</v>
      </c>
      <c r="B9" t="s">
        <v>142</v>
      </c>
      <c r="C9" s="58">
        <v>3.0000000000000001E-3</v>
      </c>
    </row>
    <row r="10" spans="1:3" x14ac:dyDescent="0.35">
      <c r="A10" s="174">
        <v>2015</v>
      </c>
      <c r="B10" t="s">
        <v>143</v>
      </c>
      <c r="C10" s="58">
        <v>0.10100000000000001</v>
      </c>
    </row>
    <row r="11" spans="1:3" x14ac:dyDescent="0.35">
      <c r="A11" s="174">
        <v>2015</v>
      </c>
      <c r="B11" t="s">
        <v>144</v>
      </c>
      <c r="C11" s="58">
        <v>0.27300000000000002</v>
      </c>
    </row>
    <row r="12" spans="1:3" x14ac:dyDescent="0.35">
      <c r="A12" s="174">
        <v>2016</v>
      </c>
      <c r="B12" t="s">
        <v>141</v>
      </c>
      <c r="C12" s="58">
        <v>1E-3</v>
      </c>
    </row>
    <row r="13" spans="1:3" x14ac:dyDescent="0.35">
      <c r="A13" s="174">
        <v>2016</v>
      </c>
      <c r="B13" t="s">
        <v>142</v>
      </c>
      <c r="C13" s="58">
        <v>-6.0000000000000001E-3</v>
      </c>
    </row>
    <row r="14" spans="1:3" x14ac:dyDescent="0.35">
      <c r="A14" s="174">
        <v>2016</v>
      </c>
      <c r="B14" t="s">
        <v>143</v>
      </c>
      <c r="C14" s="58">
        <v>0.14599999999999999</v>
      </c>
    </row>
    <row r="15" spans="1:3" x14ac:dyDescent="0.35">
      <c r="A15" s="174">
        <v>2016</v>
      </c>
      <c r="B15" t="s">
        <v>144</v>
      </c>
      <c r="C15" s="58">
        <v>0.443</v>
      </c>
    </row>
    <row r="16" spans="1:3" x14ac:dyDescent="0.35">
      <c r="A16" s="174">
        <v>2017</v>
      </c>
      <c r="B16" t="s">
        <v>141</v>
      </c>
      <c r="C16" s="58">
        <v>-2.5000000000000001E-2</v>
      </c>
    </row>
    <row r="17" spans="1:3" x14ac:dyDescent="0.35">
      <c r="A17" s="174">
        <v>2017</v>
      </c>
      <c r="B17" t="s">
        <v>142</v>
      </c>
      <c r="C17" s="58">
        <v>1.0999999999999999E-2</v>
      </c>
    </row>
    <row r="18" spans="1:3" x14ac:dyDescent="0.35">
      <c r="A18" s="174">
        <v>2017</v>
      </c>
      <c r="B18" t="s">
        <v>143</v>
      </c>
      <c r="C18" s="58">
        <v>0.11899999999999999</v>
      </c>
    </row>
    <row r="19" spans="1:3" x14ac:dyDescent="0.35">
      <c r="A19" s="174">
        <v>2017</v>
      </c>
      <c r="B19" t="s">
        <v>144</v>
      </c>
      <c r="C19" s="58">
        <v>0.46</v>
      </c>
    </row>
    <row r="20" spans="1:3" x14ac:dyDescent="0.35">
      <c r="A20" s="174">
        <v>2018</v>
      </c>
      <c r="B20" t="s">
        <v>141</v>
      </c>
      <c r="C20" s="58">
        <v>-5.3999999999999999E-2</v>
      </c>
    </row>
    <row r="21" spans="1:3" x14ac:dyDescent="0.35">
      <c r="A21" s="174">
        <v>2018</v>
      </c>
      <c r="B21" t="s">
        <v>142</v>
      </c>
      <c r="C21" s="58">
        <v>1.2E-2</v>
      </c>
    </row>
    <row r="22" spans="1:3" x14ac:dyDescent="0.35">
      <c r="A22" s="174">
        <v>2018</v>
      </c>
      <c r="B22" t="s">
        <v>143</v>
      </c>
      <c r="C22" s="58">
        <v>0.159</v>
      </c>
    </row>
    <row r="23" spans="1:3" x14ac:dyDescent="0.35">
      <c r="A23" s="174">
        <v>2018</v>
      </c>
      <c r="B23" t="s">
        <v>144</v>
      </c>
      <c r="C23" s="58">
        <v>0.51400000000000001</v>
      </c>
    </row>
    <row r="24" spans="1:3" x14ac:dyDescent="0.35">
      <c r="A24" s="174">
        <v>2019</v>
      </c>
      <c r="B24" t="s">
        <v>141</v>
      </c>
      <c r="C24" s="58">
        <v>-5.2999999999999999E-2</v>
      </c>
    </row>
    <row r="25" spans="1:3" x14ac:dyDescent="0.35">
      <c r="A25" s="174">
        <v>2019</v>
      </c>
      <c r="B25" t="s">
        <v>142</v>
      </c>
      <c r="C25" s="58">
        <v>-3.9E-2</v>
      </c>
    </row>
    <row r="26" spans="1:3" x14ac:dyDescent="0.35">
      <c r="A26" s="174">
        <v>2019</v>
      </c>
      <c r="B26" t="s">
        <v>143</v>
      </c>
      <c r="C26" s="58">
        <v>0.19600000000000001</v>
      </c>
    </row>
    <row r="27" spans="1:3" x14ac:dyDescent="0.35">
      <c r="A27" s="174">
        <v>2019</v>
      </c>
      <c r="B27" t="s">
        <v>144</v>
      </c>
      <c r="C27" s="58">
        <v>0.54400000000000004</v>
      </c>
    </row>
    <row r="28" spans="1:3" x14ac:dyDescent="0.35">
      <c r="A28" s="174">
        <v>2020</v>
      </c>
      <c r="B28" t="s">
        <v>141</v>
      </c>
      <c r="C28" s="58">
        <v>-7.0000000000000001E-3</v>
      </c>
    </row>
    <row r="29" spans="1:3" x14ac:dyDescent="0.35">
      <c r="A29" s="174">
        <v>2020</v>
      </c>
      <c r="B29" t="s">
        <v>142</v>
      </c>
      <c r="C29" s="58">
        <v>-0.31</v>
      </c>
    </row>
    <row r="30" spans="1:3" x14ac:dyDescent="0.35">
      <c r="A30" s="174">
        <v>2020</v>
      </c>
      <c r="B30" t="s">
        <v>143</v>
      </c>
      <c r="C30" s="58">
        <v>-0.17</v>
      </c>
    </row>
    <row r="31" spans="1:3" x14ac:dyDescent="0.35">
      <c r="A31" s="174">
        <v>2020</v>
      </c>
      <c r="B31" t="s">
        <v>144</v>
      </c>
      <c r="C31" s="58">
        <v>0.86599999999999999</v>
      </c>
    </row>
    <row r="32" spans="1:3" x14ac:dyDescent="0.35">
      <c r="A32" s="174">
        <v>2021</v>
      </c>
      <c r="B32" t="s">
        <v>141</v>
      </c>
      <c r="C32" s="58">
        <v>6.2E-2</v>
      </c>
    </row>
    <row r="33" spans="1:3" x14ac:dyDescent="0.35">
      <c r="A33" s="174">
        <v>2021</v>
      </c>
      <c r="B33" t="s">
        <v>142</v>
      </c>
      <c r="C33" s="58">
        <v>-0.253</v>
      </c>
    </row>
    <row r="34" spans="1:3" x14ac:dyDescent="0.35">
      <c r="A34" s="174">
        <v>2021</v>
      </c>
      <c r="B34" t="s">
        <v>143</v>
      </c>
      <c r="C34" s="58">
        <v>0.06</v>
      </c>
    </row>
    <row r="35" spans="1:3" x14ac:dyDescent="0.35">
      <c r="A35" s="174">
        <v>2021</v>
      </c>
      <c r="B35" t="s">
        <v>144</v>
      </c>
      <c r="C35" s="58">
        <v>0.97799999999999998</v>
      </c>
    </row>
    <row r="36" spans="1:3" x14ac:dyDescent="0.35">
      <c r="A36" s="174">
        <v>2022</v>
      </c>
      <c r="B36" t="s">
        <v>141</v>
      </c>
      <c r="C36" s="58">
        <v>0.10299999999999999</v>
      </c>
    </row>
    <row r="37" spans="1:3" x14ac:dyDescent="0.35">
      <c r="A37" s="174">
        <v>2022</v>
      </c>
      <c r="B37" t="s">
        <v>142</v>
      </c>
      <c r="C37" s="58">
        <v>-0.153</v>
      </c>
    </row>
    <row r="38" spans="1:3" x14ac:dyDescent="0.35">
      <c r="A38" s="174">
        <v>2022</v>
      </c>
      <c r="B38" t="s">
        <v>143</v>
      </c>
      <c r="C38" s="58">
        <v>0.27700000000000002</v>
      </c>
    </row>
    <row r="39" spans="1:3" x14ac:dyDescent="0.35">
      <c r="A39" s="174">
        <v>2022</v>
      </c>
      <c r="B39" t="s">
        <v>144</v>
      </c>
      <c r="C39" s="58">
        <v>1.012</v>
      </c>
    </row>
    <row r="40" spans="1:3" x14ac:dyDescent="0.35">
      <c r="A40" s="174">
        <v>2023</v>
      </c>
      <c r="B40" t="s">
        <v>141</v>
      </c>
      <c r="C40" s="58">
        <v>0.189</v>
      </c>
    </row>
    <row r="41" spans="1:3" x14ac:dyDescent="0.35">
      <c r="A41" s="174">
        <v>2023</v>
      </c>
      <c r="B41" t="s">
        <v>142</v>
      </c>
      <c r="C41" s="58">
        <v>-3.3000000000000002E-2</v>
      </c>
    </row>
    <row r="42" spans="1:3" x14ac:dyDescent="0.35">
      <c r="A42" s="174">
        <v>2023</v>
      </c>
      <c r="B42" t="s">
        <v>143</v>
      </c>
      <c r="C42" s="58">
        <v>0.44500000000000001</v>
      </c>
    </row>
    <row r="43" spans="1:3" x14ac:dyDescent="0.35">
      <c r="A43" s="175">
        <v>2023</v>
      </c>
      <c r="B43" s="10" t="s">
        <v>144</v>
      </c>
      <c r="C43" s="59">
        <v>1.3089999999999999</v>
      </c>
    </row>
    <row r="45" spans="1:3" x14ac:dyDescent="0.35">
      <c r="A45" s="172" t="s">
        <v>63</v>
      </c>
    </row>
    <row r="47" spans="1:3" x14ac:dyDescent="0.35">
      <c r="A47" s="172" t="s">
        <v>118</v>
      </c>
    </row>
    <row r="48" spans="1:3" x14ac:dyDescent="0.35">
      <c r="A48" s="172" t="s">
        <v>119</v>
      </c>
    </row>
    <row r="49" spans="1:1" x14ac:dyDescent="0.35">
      <c r="A49" s="172" t="s">
        <v>120</v>
      </c>
    </row>
    <row r="50" spans="1:1" x14ac:dyDescent="0.35">
      <c r="A50" s="172" t="s">
        <v>121</v>
      </c>
    </row>
    <row r="51" spans="1:1" x14ac:dyDescent="0.35">
      <c r="A51" s="172" t="s">
        <v>122</v>
      </c>
    </row>
    <row r="53" spans="1:1" x14ac:dyDescent="0.35">
      <c r="A53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1"/>
  <sheetViews>
    <sheetView workbookViewId="0"/>
  </sheetViews>
  <sheetFormatPr defaultColWidth="10.90625" defaultRowHeight="14.5" x14ac:dyDescent="0.35"/>
  <cols>
    <col min="1" max="1" width="6.7265625" style="172" customWidth="1"/>
    <col min="2" max="2" width="17.7265625" customWidth="1"/>
    <col min="3" max="3" width="18.7265625" customWidth="1"/>
    <col min="4" max="5" width="42.7265625" customWidth="1"/>
  </cols>
  <sheetData>
    <row r="1" spans="1:5" x14ac:dyDescent="0.35">
      <c r="A1" s="172" t="s">
        <v>0</v>
      </c>
    </row>
    <row r="3" spans="1:5" x14ac:dyDescent="0.35">
      <c r="A3" s="173" t="s">
        <v>1</v>
      </c>
      <c r="B3" s="4" t="s">
        <v>2</v>
      </c>
      <c r="C3" s="4" t="s">
        <v>3</v>
      </c>
      <c r="D3" s="4" t="s">
        <v>4</v>
      </c>
      <c r="E3" s="6" t="s">
        <v>5</v>
      </c>
    </row>
    <row r="4" spans="1:5" x14ac:dyDescent="0.35">
      <c r="A4" s="174">
        <v>2014</v>
      </c>
      <c r="B4" t="s">
        <v>6</v>
      </c>
      <c r="C4" s="1">
        <v>3.6999999999999998E-2</v>
      </c>
      <c r="D4" s="1">
        <v>3.3000000000000002E-2</v>
      </c>
      <c r="E4" s="3">
        <v>4.2999999999999997E-2</v>
      </c>
    </row>
    <row r="5" spans="1:5" x14ac:dyDescent="0.35">
      <c r="A5" s="174">
        <v>2019</v>
      </c>
      <c r="B5" t="s">
        <v>6</v>
      </c>
      <c r="C5" s="1">
        <v>3.7999999999999999E-2</v>
      </c>
      <c r="D5" s="1">
        <v>3.3000000000000002E-2</v>
      </c>
      <c r="E5" s="3">
        <v>4.2999999999999997E-2</v>
      </c>
    </row>
    <row r="6" spans="1:5" x14ac:dyDescent="0.35">
      <c r="A6" s="174">
        <v>2014</v>
      </c>
      <c r="B6" t="s">
        <v>7</v>
      </c>
      <c r="C6" s="1">
        <v>4.1000000000000002E-2</v>
      </c>
      <c r="D6" s="1">
        <v>3.6999999999999998E-2</v>
      </c>
      <c r="E6" s="3">
        <v>4.7E-2</v>
      </c>
    </row>
    <row r="7" spans="1:5" x14ac:dyDescent="0.35">
      <c r="A7" s="174">
        <v>2019</v>
      </c>
      <c r="B7" t="s">
        <v>7</v>
      </c>
      <c r="C7" s="1">
        <v>4.1000000000000002E-2</v>
      </c>
      <c r="D7" s="1">
        <v>3.5999999999999997E-2</v>
      </c>
      <c r="E7" s="3">
        <v>4.5999999999999999E-2</v>
      </c>
    </row>
    <row r="8" spans="1:5" x14ac:dyDescent="0.35">
      <c r="A8" s="174">
        <v>2014</v>
      </c>
      <c r="B8" t="s">
        <v>8</v>
      </c>
      <c r="C8" s="1">
        <v>3.5000000000000003E-2</v>
      </c>
      <c r="D8" s="1">
        <v>3.1E-2</v>
      </c>
      <c r="E8" s="3">
        <v>4.1000000000000002E-2</v>
      </c>
    </row>
    <row r="9" spans="1:5" x14ac:dyDescent="0.35">
      <c r="A9" s="174">
        <v>2019</v>
      </c>
      <c r="B9" t="s">
        <v>8</v>
      </c>
      <c r="C9" s="1">
        <v>3.5999999999999997E-2</v>
      </c>
      <c r="D9" s="1">
        <v>3.1E-2</v>
      </c>
      <c r="E9" s="3">
        <v>4.1000000000000002E-2</v>
      </c>
    </row>
    <row r="10" spans="1:5" x14ac:dyDescent="0.35">
      <c r="A10" s="174">
        <v>2014</v>
      </c>
      <c r="B10" t="s">
        <v>9</v>
      </c>
      <c r="C10" s="1">
        <v>3.9E-2</v>
      </c>
      <c r="D10" s="1">
        <v>3.4000000000000002E-2</v>
      </c>
      <c r="E10" s="3">
        <v>4.3999999999999997E-2</v>
      </c>
    </row>
    <row r="11" spans="1:5" x14ac:dyDescent="0.35">
      <c r="A11" s="174">
        <v>2019</v>
      </c>
      <c r="B11" t="s">
        <v>9</v>
      </c>
      <c r="C11" s="1">
        <v>0.04</v>
      </c>
      <c r="D11" s="1">
        <v>3.5000000000000003E-2</v>
      </c>
      <c r="E11" s="3">
        <v>4.5999999999999999E-2</v>
      </c>
    </row>
    <row r="12" spans="1:5" x14ac:dyDescent="0.35">
      <c r="A12" s="174">
        <v>2014</v>
      </c>
      <c r="B12" t="s">
        <v>10</v>
      </c>
      <c r="C12" s="1">
        <v>3.5000000000000003E-2</v>
      </c>
      <c r="D12" s="1">
        <v>3.1E-2</v>
      </c>
      <c r="E12" s="3">
        <v>0.04</v>
      </c>
    </row>
    <row r="13" spans="1:5" x14ac:dyDescent="0.35">
      <c r="A13" s="174">
        <v>2019</v>
      </c>
      <c r="B13" t="s">
        <v>10</v>
      </c>
      <c r="C13" s="1">
        <v>3.5999999999999997E-2</v>
      </c>
      <c r="D13" s="1">
        <v>3.1E-2</v>
      </c>
      <c r="E13" s="3">
        <v>4.2000000000000003E-2</v>
      </c>
    </row>
    <row r="14" spans="1:5" x14ac:dyDescent="0.35">
      <c r="A14" s="174">
        <v>2014</v>
      </c>
      <c r="B14" t="s">
        <v>11</v>
      </c>
      <c r="C14" s="1">
        <v>3.6999999999999998E-2</v>
      </c>
      <c r="D14" s="1">
        <v>3.2000000000000001E-2</v>
      </c>
      <c r="E14" s="3">
        <v>4.2000000000000003E-2</v>
      </c>
    </row>
    <row r="15" spans="1:5" x14ac:dyDescent="0.35">
      <c r="A15" s="174">
        <v>2019</v>
      </c>
      <c r="B15" t="s">
        <v>11</v>
      </c>
      <c r="C15" s="1">
        <v>3.6999999999999998E-2</v>
      </c>
      <c r="D15" s="1">
        <v>3.2000000000000001E-2</v>
      </c>
      <c r="E15" s="3">
        <v>4.2000000000000003E-2</v>
      </c>
    </row>
    <row r="16" spans="1:5" x14ac:dyDescent="0.35">
      <c r="A16" s="174">
        <v>2014</v>
      </c>
      <c r="B16" t="s">
        <v>12</v>
      </c>
      <c r="C16" s="1">
        <v>4.1000000000000002E-2</v>
      </c>
      <c r="D16" s="1">
        <v>3.6999999999999998E-2</v>
      </c>
      <c r="E16" s="3">
        <v>4.7E-2</v>
      </c>
    </row>
    <row r="17" spans="1:5" x14ac:dyDescent="0.35">
      <c r="A17" s="174">
        <v>2019</v>
      </c>
      <c r="B17" t="s">
        <v>12</v>
      </c>
      <c r="C17" s="1">
        <v>4.1000000000000002E-2</v>
      </c>
      <c r="D17" s="1">
        <v>3.6999999999999998E-2</v>
      </c>
      <c r="E17" s="3">
        <v>4.7E-2</v>
      </c>
    </row>
    <row r="18" spans="1:5" x14ac:dyDescent="0.35">
      <c r="A18" s="174">
        <v>2014</v>
      </c>
      <c r="B18" t="s">
        <v>13</v>
      </c>
      <c r="C18" s="1">
        <v>4.8000000000000001E-2</v>
      </c>
      <c r="D18" s="1">
        <v>4.2999999999999997E-2</v>
      </c>
      <c r="E18" s="3">
        <v>5.5E-2</v>
      </c>
    </row>
    <row r="19" spans="1:5" x14ac:dyDescent="0.35">
      <c r="A19" s="174">
        <v>2019</v>
      </c>
      <c r="B19" t="s">
        <v>13</v>
      </c>
      <c r="C19" s="1">
        <v>4.9000000000000002E-2</v>
      </c>
      <c r="D19" s="1">
        <v>4.2999999999999997E-2</v>
      </c>
      <c r="E19" s="3">
        <v>5.6000000000000001E-2</v>
      </c>
    </row>
    <row r="20" spans="1:5" x14ac:dyDescent="0.35">
      <c r="A20" s="174">
        <v>2014</v>
      </c>
      <c r="B20" t="s">
        <v>14</v>
      </c>
      <c r="C20" s="1">
        <v>4.2999999999999997E-2</v>
      </c>
      <c r="D20" s="1">
        <v>3.9E-2</v>
      </c>
      <c r="E20" s="3">
        <v>4.8000000000000001E-2</v>
      </c>
    </row>
    <row r="21" spans="1:5" x14ac:dyDescent="0.35">
      <c r="A21" s="174">
        <v>2019</v>
      </c>
      <c r="B21" t="s">
        <v>14</v>
      </c>
      <c r="C21" s="1">
        <v>4.3999999999999997E-2</v>
      </c>
      <c r="D21" s="1">
        <v>3.9E-2</v>
      </c>
      <c r="E21" s="3">
        <v>4.8000000000000001E-2</v>
      </c>
    </row>
    <row r="22" spans="1:5" x14ac:dyDescent="0.35">
      <c r="A22" s="174">
        <v>2014</v>
      </c>
      <c r="B22" t="s">
        <v>15</v>
      </c>
      <c r="C22" s="1">
        <v>4.8000000000000001E-2</v>
      </c>
      <c r="D22" s="1">
        <v>4.2999999999999997E-2</v>
      </c>
      <c r="E22" s="3">
        <v>5.2999999999999999E-2</v>
      </c>
    </row>
    <row r="23" spans="1:5" x14ac:dyDescent="0.35">
      <c r="A23" s="174">
        <v>2019</v>
      </c>
      <c r="B23" t="s">
        <v>15</v>
      </c>
      <c r="C23" s="1">
        <v>4.7E-2</v>
      </c>
      <c r="D23" s="1">
        <v>4.2000000000000003E-2</v>
      </c>
      <c r="E23" s="3">
        <v>5.2999999999999999E-2</v>
      </c>
    </row>
    <row r="24" spans="1:5" x14ac:dyDescent="0.35">
      <c r="A24" s="174">
        <v>2014</v>
      </c>
      <c r="B24" t="s">
        <v>16</v>
      </c>
      <c r="C24" s="1">
        <v>4.4999999999999998E-2</v>
      </c>
      <c r="D24" s="1">
        <v>0.04</v>
      </c>
      <c r="E24" s="3">
        <v>0.05</v>
      </c>
    </row>
    <row r="25" spans="1:5" x14ac:dyDescent="0.35">
      <c r="A25" s="174">
        <v>2019</v>
      </c>
      <c r="B25" t="s">
        <v>16</v>
      </c>
      <c r="C25" s="1">
        <v>4.4999999999999998E-2</v>
      </c>
      <c r="D25" s="1">
        <v>3.9E-2</v>
      </c>
      <c r="E25" s="3">
        <v>0.05</v>
      </c>
    </row>
    <row r="26" spans="1:5" x14ac:dyDescent="0.35">
      <c r="A26" s="174">
        <v>2014</v>
      </c>
      <c r="B26" t="s">
        <v>17</v>
      </c>
      <c r="C26" s="1">
        <v>4.2000000000000003E-2</v>
      </c>
      <c r="D26" s="1">
        <v>3.7999999999999999E-2</v>
      </c>
      <c r="E26" s="3">
        <v>4.5999999999999999E-2</v>
      </c>
    </row>
    <row r="27" spans="1:5" x14ac:dyDescent="0.35">
      <c r="A27" s="174">
        <v>2019</v>
      </c>
      <c r="B27" t="s">
        <v>17</v>
      </c>
      <c r="C27" s="1">
        <v>4.1000000000000002E-2</v>
      </c>
      <c r="D27" s="1">
        <v>3.5999999999999997E-2</v>
      </c>
      <c r="E27" s="3">
        <v>4.5999999999999999E-2</v>
      </c>
    </row>
    <row r="28" spans="1:5" x14ac:dyDescent="0.35">
      <c r="A28" s="174">
        <v>2014</v>
      </c>
      <c r="B28" t="s">
        <v>18</v>
      </c>
      <c r="C28" s="1">
        <v>5.8999999999999997E-2</v>
      </c>
      <c r="D28" s="1">
        <v>5.2999999999999999E-2</v>
      </c>
      <c r="E28" s="3">
        <v>6.5000000000000002E-2</v>
      </c>
    </row>
    <row r="29" spans="1:5" x14ac:dyDescent="0.35">
      <c r="A29" s="174">
        <v>2019</v>
      </c>
      <c r="B29" t="s">
        <v>18</v>
      </c>
      <c r="C29" s="1">
        <v>6.2E-2</v>
      </c>
      <c r="D29" s="1">
        <v>5.3999999999999999E-2</v>
      </c>
      <c r="E29" s="3">
        <v>7.0999999999999994E-2</v>
      </c>
    </row>
    <row r="30" spans="1:5" x14ac:dyDescent="0.35">
      <c r="A30" s="174">
        <v>2014</v>
      </c>
      <c r="B30" t="s">
        <v>19</v>
      </c>
      <c r="C30" s="1">
        <v>3.6999999999999998E-2</v>
      </c>
      <c r="D30" s="1">
        <v>3.2000000000000001E-2</v>
      </c>
      <c r="E30" s="3">
        <v>4.2000000000000003E-2</v>
      </c>
    </row>
    <row r="31" spans="1:5" x14ac:dyDescent="0.35">
      <c r="A31" s="174">
        <v>2019</v>
      </c>
      <c r="B31" t="s">
        <v>19</v>
      </c>
      <c r="C31" s="1">
        <v>3.6999999999999998E-2</v>
      </c>
      <c r="D31" s="1">
        <v>3.3000000000000002E-2</v>
      </c>
      <c r="E31" s="3">
        <v>4.2999999999999997E-2</v>
      </c>
    </row>
    <row r="32" spans="1:5" x14ac:dyDescent="0.35">
      <c r="A32" s="174">
        <v>2014</v>
      </c>
      <c r="B32" t="s">
        <v>20</v>
      </c>
      <c r="C32" s="1">
        <v>3.2000000000000001E-2</v>
      </c>
      <c r="D32" s="1">
        <v>2.8000000000000001E-2</v>
      </c>
      <c r="E32" s="3">
        <v>3.6999999999999998E-2</v>
      </c>
    </row>
    <row r="33" spans="1:5" x14ac:dyDescent="0.35">
      <c r="A33" s="174">
        <v>2019</v>
      </c>
      <c r="B33" t="s">
        <v>20</v>
      </c>
      <c r="C33" s="1">
        <v>3.3000000000000002E-2</v>
      </c>
      <c r="D33" s="1">
        <v>2.9000000000000001E-2</v>
      </c>
      <c r="E33" s="3">
        <v>3.7999999999999999E-2</v>
      </c>
    </row>
    <row r="34" spans="1:5" x14ac:dyDescent="0.35">
      <c r="A34" s="174">
        <v>2014</v>
      </c>
      <c r="B34" t="s">
        <v>21</v>
      </c>
      <c r="C34" s="1">
        <v>4.3999999999999997E-2</v>
      </c>
      <c r="D34" s="1">
        <v>4.1000000000000002E-2</v>
      </c>
      <c r="E34" s="3">
        <v>4.9000000000000002E-2</v>
      </c>
    </row>
    <row r="35" spans="1:5" x14ac:dyDescent="0.35">
      <c r="A35" s="174">
        <v>2019</v>
      </c>
      <c r="B35" t="s">
        <v>21</v>
      </c>
      <c r="C35" s="1">
        <v>4.5999999999999999E-2</v>
      </c>
      <c r="D35" s="1">
        <v>4.2000000000000003E-2</v>
      </c>
      <c r="E35" s="3">
        <v>5.1999999999999998E-2</v>
      </c>
    </row>
    <row r="36" spans="1:5" x14ac:dyDescent="0.35">
      <c r="A36" s="174">
        <v>2014</v>
      </c>
      <c r="B36" t="s">
        <v>22</v>
      </c>
      <c r="C36" s="1">
        <v>4.3999999999999997E-2</v>
      </c>
      <c r="D36" s="1">
        <v>3.9E-2</v>
      </c>
      <c r="E36" s="3">
        <v>4.8000000000000001E-2</v>
      </c>
    </row>
    <row r="37" spans="1:5" x14ac:dyDescent="0.35">
      <c r="A37" s="174">
        <v>2019</v>
      </c>
      <c r="B37" t="s">
        <v>22</v>
      </c>
      <c r="C37" s="1">
        <v>4.4999999999999998E-2</v>
      </c>
      <c r="D37" s="1">
        <v>0.04</v>
      </c>
      <c r="E37" s="3">
        <v>4.9000000000000002E-2</v>
      </c>
    </row>
    <row r="38" spans="1:5" x14ac:dyDescent="0.35">
      <c r="A38" s="174">
        <v>2014</v>
      </c>
      <c r="B38" t="s">
        <v>23</v>
      </c>
      <c r="C38" s="1">
        <v>4.9000000000000002E-2</v>
      </c>
      <c r="D38" s="1">
        <v>4.3999999999999997E-2</v>
      </c>
      <c r="E38" s="3">
        <v>5.5E-2</v>
      </c>
    </row>
    <row r="39" spans="1:5" x14ac:dyDescent="0.35">
      <c r="A39" s="174">
        <v>2019</v>
      </c>
      <c r="B39" t="s">
        <v>23</v>
      </c>
      <c r="C39" s="1">
        <v>4.9000000000000002E-2</v>
      </c>
      <c r="D39" s="1">
        <v>4.2999999999999997E-2</v>
      </c>
      <c r="E39" s="3">
        <v>5.6000000000000001E-2</v>
      </c>
    </row>
    <row r="40" spans="1:5" x14ac:dyDescent="0.35">
      <c r="A40" s="174">
        <v>2014</v>
      </c>
      <c r="B40" t="s">
        <v>24</v>
      </c>
      <c r="C40" s="1">
        <v>5.1999999999999998E-2</v>
      </c>
      <c r="D40" s="1">
        <v>4.5999999999999999E-2</v>
      </c>
      <c r="E40" s="3">
        <v>5.8999999999999997E-2</v>
      </c>
    </row>
    <row r="41" spans="1:5" x14ac:dyDescent="0.35">
      <c r="A41" s="174">
        <v>2019</v>
      </c>
      <c r="B41" t="s">
        <v>24</v>
      </c>
      <c r="C41" s="1">
        <v>5.1999999999999998E-2</v>
      </c>
      <c r="D41" s="1">
        <v>4.5999999999999999E-2</v>
      </c>
      <c r="E41" s="3">
        <v>5.8999999999999997E-2</v>
      </c>
    </row>
    <row r="42" spans="1:5" x14ac:dyDescent="0.35">
      <c r="A42" s="174">
        <v>2014</v>
      </c>
      <c r="B42" t="s">
        <v>25</v>
      </c>
      <c r="C42" s="1">
        <v>3.6999999999999998E-2</v>
      </c>
      <c r="D42" s="1">
        <v>3.3000000000000002E-2</v>
      </c>
      <c r="E42" s="3">
        <v>4.2000000000000003E-2</v>
      </c>
    </row>
    <row r="43" spans="1:5" x14ac:dyDescent="0.35">
      <c r="A43" s="174">
        <v>2019</v>
      </c>
      <c r="B43" t="s">
        <v>25</v>
      </c>
      <c r="C43" s="1">
        <v>3.7999999999999999E-2</v>
      </c>
      <c r="D43" s="1">
        <v>3.4000000000000002E-2</v>
      </c>
      <c r="E43" s="3">
        <v>4.2999999999999997E-2</v>
      </c>
    </row>
    <row r="44" spans="1:5" x14ac:dyDescent="0.35">
      <c r="A44" s="174">
        <v>2014</v>
      </c>
      <c r="B44" t="s">
        <v>26</v>
      </c>
      <c r="C44" s="1">
        <v>3.5999999999999997E-2</v>
      </c>
      <c r="D44" s="1">
        <v>3.2000000000000001E-2</v>
      </c>
      <c r="E44" s="3">
        <v>4.2000000000000003E-2</v>
      </c>
    </row>
    <row r="45" spans="1:5" x14ac:dyDescent="0.35">
      <c r="A45" s="174">
        <v>2019</v>
      </c>
      <c r="B45" t="s">
        <v>26</v>
      </c>
      <c r="C45" s="1">
        <v>3.6999999999999998E-2</v>
      </c>
      <c r="D45" s="1">
        <v>3.3000000000000002E-2</v>
      </c>
      <c r="E45" s="3">
        <v>4.2999999999999997E-2</v>
      </c>
    </row>
    <row r="46" spans="1:5" x14ac:dyDescent="0.35">
      <c r="A46" s="174">
        <v>2014</v>
      </c>
      <c r="B46" t="s">
        <v>27</v>
      </c>
      <c r="C46" s="1">
        <v>4.1000000000000002E-2</v>
      </c>
      <c r="D46" s="1">
        <v>3.5999999999999997E-2</v>
      </c>
      <c r="E46" s="3">
        <v>4.4999999999999998E-2</v>
      </c>
    </row>
    <row r="47" spans="1:5" x14ac:dyDescent="0.35">
      <c r="A47" s="174">
        <v>2019</v>
      </c>
      <c r="B47" t="s">
        <v>27</v>
      </c>
      <c r="C47" s="1">
        <v>4.2000000000000003E-2</v>
      </c>
      <c r="D47" s="1">
        <v>3.6999999999999998E-2</v>
      </c>
      <c r="E47" s="3">
        <v>4.7E-2</v>
      </c>
    </row>
    <row r="48" spans="1:5" x14ac:dyDescent="0.35">
      <c r="A48" s="174">
        <v>2014</v>
      </c>
      <c r="B48" t="s">
        <v>28</v>
      </c>
      <c r="C48" s="1">
        <v>3.5000000000000003E-2</v>
      </c>
      <c r="D48" s="1">
        <v>3.2000000000000001E-2</v>
      </c>
      <c r="E48" s="3">
        <v>3.9E-2</v>
      </c>
    </row>
    <row r="49" spans="1:5" x14ac:dyDescent="0.35">
      <c r="A49" s="174">
        <v>2019</v>
      </c>
      <c r="B49" t="s">
        <v>28</v>
      </c>
      <c r="C49" s="1">
        <v>3.6999999999999998E-2</v>
      </c>
      <c r="D49" s="1">
        <v>3.3000000000000002E-2</v>
      </c>
      <c r="E49" s="3">
        <v>4.1000000000000002E-2</v>
      </c>
    </row>
    <row r="50" spans="1:5" x14ac:dyDescent="0.35">
      <c r="A50" s="174">
        <v>2014</v>
      </c>
      <c r="B50" t="s">
        <v>29</v>
      </c>
      <c r="C50" s="1">
        <v>2.5999999999999999E-2</v>
      </c>
      <c r="D50" s="1">
        <v>2.3E-2</v>
      </c>
      <c r="E50" s="3">
        <v>2.9000000000000001E-2</v>
      </c>
    </row>
    <row r="51" spans="1:5" x14ac:dyDescent="0.35">
      <c r="A51" s="174">
        <v>2019</v>
      </c>
      <c r="B51" t="s">
        <v>29</v>
      </c>
      <c r="C51" s="1">
        <v>2.8000000000000001E-2</v>
      </c>
      <c r="D51" s="1">
        <v>2.5000000000000001E-2</v>
      </c>
      <c r="E51" s="3">
        <v>3.2000000000000001E-2</v>
      </c>
    </row>
    <row r="52" spans="1:5" x14ac:dyDescent="0.35">
      <c r="A52" s="174">
        <v>2014</v>
      </c>
      <c r="B52" t="s">
        <v>30</v>
      </c>
      <c r="C52" s="1">
        <v>5.3999999999999999E-2</v>
      </c>
      <c r="D52" s="1">
        <v>4.9000000000000002E-2</v>
      </c>
      <c r="E52" s="3">
        <v>5.8999999999999997E-2</v>
      </c>
    </row>
    <row r="53" spans="1:5" x14ac:dyDescent="0.35">
      <c r="A53" s="174">
        <v>2019</v>
      </c>
      <c r="B53" t="s">
        <v>30</v>
      </c>
      <c r="C53" s="1">
        <v>5.6000000000000001E-2</v>
      </c>
      <c r="D53" s="1">
        <v>4.9000000000000002E-2</v>
      </c>
      <c r="E53" s="3">
        <v>6.4000000000000001E-2</v>
      </c>
    </row>
    <row r="54" spans="1:5" x14ac:dyDescent="0.35">
      <c r="A54" s="174">
        <v>2014</v>
      </c>
      <c r="B54" t="s">
        <v>31</v>
      </c>
      <c r="C54" s="1">
        <v>3.3000000000000002E-2</v>
      </c>
      <c r="D54" s="1">
        <v>2.9000000000000001E-2</v>
      </c>
      <c r="E54" s="3">
        <v>3.7999999999999999E-2</v>
      </c>
    </row>
    <row r="55" spans="1:5" x14ac:dyDescent="0.35">
      <c r="A55" s="174">
        <v>2019</v>
      </c>
      <c r="B55" t="s">
        <v>31</v>
      </c>
      <c r="C55" s="1">
        <v>3.4000000000000002E-2</v>
      </c>
      <c r="D55" s="1">
        <v>2.9000000000000001E-2</v>
      </c>
      <c r="E55" s="3">
        <v>3.9E-2</v>
      </c>
    </row>
    <row r="56" spans="1:5" x14ac:dyDescent="0.35">
      <c r="A56" s="174">
        <v>2014</v>
      </c>
      <c r="B56" t="s">
        <v>32</v>
      </c>
      <c r="C56" s="1">
        <v>3.4000000000000002E-2</v>
      </c>
      <c r="D56" s="1">
        <v>0.03</v>
      </c>
      <c r="E56" s="3">
        <v>3.9E-2</v>
      </c>
    </row>
    <row r="57" spans="1:5" x14ac:dyDescent="0.35">
      <c r="A57" s="174">
        <v>2019</v>
      </c>
      <c r="B57" t="s">
        <v>32</v>
      </c>
      <c r="C57" s="1">
        <v>3.4000000000000002E-2</v>
      </c>
      <c r="D57" s="1">
        <v>0.03</v>
      </c>
      <c r="E57" s="3">
        <v>3.9E-2</v>
      </c>
    </row>
    <row r="58" spans="1:5" x14ac:dyDescent="0.35">
      <c r="A58" s="174">
        <v>2014</v>
      </c>
      <c r="B58" t="s">
        <v>33</v>
      </c>
      <c r="C58" s="1">
        <v>4.1000000000000002E-2</v>
      </c>
      <c r="D58" s="1">
        <v>3.5999999999999997E-2</v>
      </c>
      <c r="E58" s="3">
        <v>4.7E-2</v>
      </c>
    </row>
    <row r="59" spans="1:5" x14ac:dyDescent="0.35">
      <c r="A59" s="174">
        <v>2019</v>
      </c>
      <c r="B59" t="s">
        <v>33</v>
      </c>
      <c r="C59" s="1">
        <v>4.1000000000000002E-2</v>
      </c>
      <c r="D59" s="1">
        <v>3.5999999999999997E-2</v>
      </c>
      <c r="E59" s="3">
        <v>4.7E-2</v>
      </c>
    </row>
    <row r="60" spans="1:5" x14ac:dyDescent="0.35">
      <c r="A60" s="174">
        <v>2014</v>
      </c>
      <c r="B60" t="s">
        <v>34</v>
      </c>
      <c r="C60" s="1">
        <v>5.3999999999999999E-2</v>
      </c>
      <c r="D60" s="1">
        <v>0.05</v>
      </c>
      <c r="E60" s="3">
        <v>0.06</v>
      </c>
    </row>
    <row r="61" spans="1:5" x14ac:dyDescent="0.35">
      <c r="A61" s="174">
        <v>2019</v>
      </c>
      <c r="B61" t="s">
        <v>34</v>
      </c>
      <c r="C61" s="1">
        <v>5.7000000000000002E-2</v>
      </c>
      <c r="D61" s="1">
        <v>5.1999999999999998E-2</v>
      </c>
      <c r="E61" s="3">
        <v>6.3E-2</v>
      </c>
    </row>
    <row r="62" spans="1:5" x14ac:dyDescent="0.35">
      <c r="A62" s="174">
        <v>2014</v>
      </c>
      <c r="B62" t="s">
        <v>35</v>
      </c>
      <c r="C62" s="1">
        <v>4.8000000000000001E-2</v>
      </c>
      <c r="D62" s="1">
        <v>4.3999999999999997E-2</v>
      </c>
      <c r="E62" s="3">
        <v>5.2999999999999999E-2</v>
      </c>
    </row>
    <row r="63" spans="1:5" x14ac:dyDescent="0.35">
      <c r="A63" s="174">
        <v>2019</v>
      </c>
      <c r="B63" t="s">
        <v>35</v>
      </c>
      <c r="C63" s="1">
        <v>4.7E-2</v>
      </c>
      <c r="D63" s="1">
        <v>4.2999999999999997E-2</v>
      </c>
      <c r="E63" s="3">
        <v>5.1999999999999998E-2</v>
      </c>
    </row>
    <row r="64" spans="1:5" x14ac:dyDescent="0.35">
      <c r="A64" s="174">
        <v>2014</v>
      </c>
      <c r="B64" t="s">
        <v>36</v>
      </c>
      <c r="C64" s="1">
        <v>4.4999999999999998E-2</v>
      </c>
      <c r="D64" s="1">
        <v>0.04</v>
      </c>
      <c r="E64" s="3">
        <v>0.05</v>
      </c>
    </row>
    <row r="65" spans="1:5" x14ac:dyDescent="0.35">
      <c r="A65" s="174">
        <v>2019</v>
      </c>
      <c r="B65" t="s">
        <v>36</v>
      </c>
      <c r="C65" s="1">
        <v>4.4999999999999998E-2</v>
      </c>
      <c r="D65" s="1">
        <v>0.04</v>
      </c>
      <c r="E65" s="3">
        <v>0.05</v>
      </c>
    </row>
    <row r="66" spans="1:5" x14ac:dyDescent="0.35">
      <c r="A66" s="174">
        <v>2014</v>
      </c>
      <c r="B66" t="s">
        <v>37</v>
      </c>
      <c r="C66" s="1">
        <v>4.8000000000000001E-2</v>
      </c>
      <c r="D66" s="1">
        <v>4.2999999999999997E-2</v>
      </c>
      <c r="E66" s="3">
        <v>5.2999999999999999E-2</v>
      </c>
    </row>
    <row r="67" spans="1:5" x14ac:dyDescent="0.35">
      <c r="A67" s="175">
        <v>2019</v>
      </c>
      <c r="B67" s="10" t="s">
        <v>37</v>
      </c>
      <c r="C67" s="7">
        <v>4.7E-2</v>
      </c>
      <c r="D67" s="7">
        <v>4.2000000000000003E-2</v>
      </c>
      <c r="E67" s="9">
        <v>5.2999999999999999E-2</v>
      </c>
    </row>
    <row r="69" spans="1:5" x14ac:dyDescent="0.35">
      <c r="A69" s="172" t="s">
        <v>38</v>
      </c>
    </row>
    <row r="71" spans="1:5" x14ac:dyDescent="0.35">
      <c r="A7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18"/>
  <sheetViews>
    <sheetView workbookViewId="0"/>
  </sheetViews>
  <sheetFormatPr defaultColWidth="10.90625" defaultRowHeight="14.5" x14ac:dyDescent="0.35"/>
  <cols>
    <col min="1" max="1" width="6.7265625" style="172" customWidth="1"/>
    <col min="2" max="2" width="25.7265625" customWidth="1"/>
    <col min="3" max="3" width="20.7265625" customWidth="1"/>
    <col min="4" max="4" width="26.7265625" customWidth="1"/>
    <col min="5" max="5" width="17.7265625" customWidth="1"/>
  </cols>
  <sheetData>
    <row r="1" spans="1:5" x14ac:dyDescent="0.35">
      <c r="A1" s="172" t="s">
        <v>145</v>
      </c>
    </row>
    <row r="3" spans="1:5" x14ac:dyDescent="0.35">
      <c r="A3" s="173" t="s">
        <v>1</v>
      </c>
      <c r="B3" s="4" t="s">
        <v>146</v>
      </c>
      <c r="C3" s="4" t="s">
        <v>147</v>
      </c>
      <c r="D3" s="4" t="s">
        <v>148</v>
      </c>
      <c r="E3" s="6" t="s">
        <v>149</v>
      </c>
    </row>
    <row r="4" spans="1:5" x14ac:dyDescent="0.35">
      <c r="A4" s="174">
        <v>2013</v>
      </c>
      <c r="B4" s="60">
        <v>1120.3</v>
      </c>
      <c r="C4" s="61">
        <v>0.82399999999999995</v>
      </c>
      <c r="D4" s="61">
        <v>9.4E-2</v>
      </c>
      <c r="E4" s="62">
        <v>7.9000000000000001E-2</v>
      </c>
    </row>
    <row r="5" spans="1:5" x14ac:dyDescent="0.35">
      <c r="A5" s="174">
        <v>2014</v>
      </c>
      <c r="B5" s="60">
        <v>1136.2</v>
      </c>
      <c r="C5" s="61">
        <v>0.81599999999999995</v>
      </c>
      <c r="D5" s="61">
        <v>9.4E-2</v>
      </c>
      <c r="E5" s="62">
        <v>8.6999999999999994E-2</v>
      </c>
    </row>
    <row r="6" spans="1:5" x14ac:dyDescent="0.35">
      <c r="A6" s="174">
        <v>2015</v>
      </c>
      <c r="B6" s="60">
        <v>1132.4000000000001</v>
      </c>
      <c r="C6" s="61">
        <v>0.80700000000000005</v>
      </c>
      <c r="D6" s="61">
        <v>9.7000000000000003E-2</v>
      </c>
      <c r="E6" s="62">
        <v>9.2999999999999999E-2</v>
      </c>
    </row>
    <row r="7" spans="1:5" x14ac:dyDescent="0.35">
      <c r="A7" s="174">
        <v>2016</v>
      </c>
      <c r="B7" s="60">
        <v>1122</v>
      </c>
      <c r="C7" s="61">
        <v>0.79800000000000004</v>
      </c>
      <c r="D7" s="61">
        <v>9.9000000000000005E-2</v>
      </c>
      <c r="E7" s="62">
        <v>0.1</v>
      </c>
    </row>
    <row r="8" spans="1:5" x14ac:dyDescent="0.35">
      <c r="A8" s="174">
        <v>2017</v>
      </c>
      <c r="B8" s="60">
        <v>1092.5</v>
      </c>
      <c r="C8" s="61">
        <v>0.78900000000000003</v>
      </c>
      <c r="D8" s="61">
        <v>9.8000000000000004E-2</v>
      </c>
      <c r="E8" s="62">
        <v>0.11</v>
      </c>
    </row>
    <row r="9" spans="1:5" x14ac:dyDescent="0.35">
      <c r="A9" s="174">
        <v>2018</v>
      </c>
      <c r="B9" s="60">
        <v>1059.4000000000001</v>
      </c>
      <c r="C9" s="61">
        <v>0.77700000000000002</v>
      </c>
      <c r="D9" s="61">
        <v>9.8000000000000004E-2</v>
      </c>
      <c r="E9" s="62">
        <v>0.122</v>
      </c>
    </row>
    <row r="10" spans="1:5" x14ac:dyDescent="0.35">
      <c r="A10" s="174">
        <v>2019</v>
      </c>
      <c r="B10" s="60">
        <v>1061.0999999999999</v>
      </c>
      <c r="C10" s="61">
        <v>0.752</v>
      </c>
      <c r="D10" s="61">
        <v>0.106</v>
      </c>
      <c r="E10" s="62">
        <v>0.13800000000000001</v>
      </c>
    </row>
    <row r="11" spans="1:5" x14ac:dyDescent="0.35">
      <c r="A11" s="174">
        <v>2020</v>
      </c>
      <c r="B11" s="60">
        <v>1112.8</v>
      </c>
      <c r="C11" s="61">
        <v>0.73499999999999999</v>
      </c>
      <c r="D11" s="61">
        <v>0.11899999999999999</v>
      </c>
      <c r="E11" s="62">
        <v>0.14299999999999999</v>
      </c>
    </row>
    <row r="12" spans="1:5" x14ac:dyDescent="0.35">
      <c r="A12" s="174">
        <v>2021</v>
      </c>
      <c r="B12" s="60">
        <v>1190.0999999999999</v>
      </c>
      <c r="C12" s="61">
        <v>0.70199999999999996</v>
      </c>
      <c r="D12" s="61">
        <v>0.13100000000000001</v>
      </c>
      <c r="E12" s="62">
        <v>0.16</v>
      </c>
    </row>
    <row r="13" spans="1:5" x14ac:dyDescent="0.35">
      <c r="A13" s="174">
        <v>2022</v>
      </c>
      <c r="B13" s="60">
        <v>1235.3</v>
      </c>
      <c r="C13" s="61">
        <v>0.67500000000000004</v>
      </c>
      <c r="D13" s="61">
        <v>0.14099999999999999</v>
      </c>
      <c r="E13" s="62">
        <v>0.17199999999999999</v>
      </c>
    </row>
    <row r="14" spans="1:5" x14ac:dyDescent="0.35">
      <c r="A14" s="175">
        <v>2023</v>
      </c>
      <c r="B14" s="63">
        <v>1332.2</v>
      </c>
      <c r="C14" s="64">
        <v>0.64500000000000002</v>
      </c>
      <c r="D14" s="64">
        <v>0.155</v>
      </c>
      <c r="E14" s="65">
        <v>0.188</v>
      </c>
    </row>
    <row r="16" spans="1:5" x14ac:dyDescent="0.35">
      <c r="A16" s="172" t="s">
        <v>63</v>
      </c>
    </row>
    <row r="18" spans="1:1" x14ac:dyDescent="0.35">
      <c r="A18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8"/>
  <sheetViews>
    <sheetView workbookViewId="0"/>
  </sheetViews>
  <sheetFormatPr defaultColWidth="10.90625" defaultRowHeight="14.5" x14ac:dyDescent="0.35"/>
  <cols>
    <col min="1" max="1" width="6.7265625" style="172" customWidth="1"/>
    <col min="2" max="3" width="25.7265625" customWidth="1"/>
    <col min="4" max="4" width="21.7265625" customWidth="1"/>
    <col min="5" max="5" width="25.7265625" customWidth="1"/>
  </cols>
  <sheetData>
    <row r="1" spans="1:5" x14ac:dyDescent="0.35">
      <c r="A1" s="172" t="s">
        <v>150</v>
      </c>
    </row>
    <row r="3" spans="1:5" x14ac:dyDescent="0.35">
      <c r="A3" s="173" t="s">
        <v>1</v>
      </c>
      <c r="B3" s="4" t="s">
        <v>146</v>
      </c>
      <c r="C3" s="4" t="s">
        <v>151</v>
      </c>
      <c r="D3" s="4" t="s">
        <v>152</v>
      </c>
      <c r="E3" s="6" t="s">
        <v>153</v>
      </c>
    </row>
    <row r="4" spans="1:5" x14ac:dyDescent="0.35">
      <c r="A4" s="174">
        <v>2013</v>
      </c>
      <c r="B4" s="66">
        <v>922.9</v>
      </c>
      <c r="C4" s="67">
        <v>0.52500000000000002</v>
      </c>
      <c r="D4" s="67">
        <v>0.38100000000000001</v>
      </c>
      <c r="E4" s="68">
        <v>9.4E-2</v>
      </c>
    </row>
    <row r="5" spans="1:5" x14ac:dyDescent="0.35">
      <c r="A5" s="174">
        <v>2014</v>
      </c>
      <c r="B5" s="66">
        <v>926.9</v>
      </c>
      <c r="C5" s="67">
        <v>0.54100000000000004</v>
      </c>
      <c r="D5" s="67">
        <v>0.37</v>
      </c>
      <c r="E5" s="68">
        <v>8.8999999999999996E-2</v>
      </c>
    </row>
    <row r="6" spans="1:5" x14ac:dyDescent="0.35">
      <c r="A6" s="174">
        <v>2015</v>
      </c>
      <c r="B6" s="66">
        <v>914.2</v>
      </c>
      <c r="C6" s="67">
        <v>0.56399999999999995</v>
      </c>
      <c r="D6" s="67">
        <v>0.34899999999999998</v>
      </c>
      <c r="E6" s="68">
        <v>8.6999999999999994E-2</v>
      </c>
    </row>
    <row r="7" spans="1:5" x14ac:dyDescent="0.35">
      <c r="A7" s="174">
        <v>2016</v>
      </c>
      <c r="B7" s="66">
        <v>895.7</v>
      </c>
      <c r="C7" s="67">
        <v>0.57999999999999996</v>
      </c>
      <c r="D7" s="67">
        <v>0.33600000000000002</v>
      </c>
      <c r="E7" s="68">
        <v>8.4000000000000005E-2</v>
      </c>
    </row>
    <row r="8" spans="1:5" x14ac:dyDescent="0.35">
      <c r="A8" s="174">
        <v>2017</v>
      </c>
      <c r="B8" s="66">
        <v>861.6</v>
      </c>
      <c r="C8" s="67">
        <v>0.59099999999999997</v>
      </c>
      <c r="D8" s="67">
        <v>0.32300000000000001</v>
      </c>
      <c r="E8" s="68">
        <v>8.5999999999999993E-2</v>
      </c>
    </row>
    <row r="9" spans="1:5" x14ac:dyDescent="0.35">
      <c r="A9" s="174">
        <v>2018</v>
      </c>
      <c r="B9" s="66">
        <v>823</v>
      </c>
      <c r="C9" s="67">
        <v>0.60099999999999998</v>
      </c>
      <c r="D9" s="67">
        <v>0.30599999999999999</v>
      </c>
      <c r="E9" s="68">
        <v>9.2999999999999999E-2</v>
      </c>
    </row>
    <row r="10" spans="1:5" x14ac:dyDescent="0.35">
      <c r="A10" s="174">
        <v>2019</v>
      </c>
      <c r="B10" s="66">
        <v>797.6</v>
      </c>
      <c r="C10" s="67">
        <v>0.61099999999999999</v>
      </c>
      <c r="D10" s="67">
        <v>0.28299999999999997</v>
      </c>
      <c r="E10" s="68">
        <v>0.106</v>
      </c>
    </row>
    <row r="11" spans="1:5" x14ac:dyDescent="0.35">
      <c r="A11" s="174">
        <v>2020</v>
      </c>
      <c r="B11" s="66">
        <v>817.5</v>
      </c>
      <c r="C11" s="67">
        <v>0.628</v>
      </c>
      <c r="D11" s="67">
        <v>0.28599999999999998</v>
      </c>
      <c r="E11" s="68">
        <v>8.5999999999999993E-2</v>
      </c>
    </row>
    <row r="12" spans="1:5" x14ac:dyDescent="0.35">
      <c r="A12" s="174">
        <v>2021</v>
      </c>
      <c r="B12" s="66">
        <v>835.6</v>
      </c>
      <c r="C12" s="67">
        <v>0.64700000000000002</v>
      </c>
      <c r="D12" s="67">
        <v>0.253</v>
      </c>
      <c r="E12" s="68">
        <v>0.1</v>
      </c>
    </row>
    <row r="13" spans="1:5" x14ac:dyDescent="0.35">
      <c r="A13" s="174">
        <v>2022</v>
      </c>
      <c r="B13" s="66">
        <v>834.2</v>
      </c>
      <c r="C13" s="67">
        <v>0.65200000000000002</v>
      </c>
      <c r="D13" s="67">
        <v>0.23499999999999999</v>
      </c>
      <c r="E13" s="68">
        <v>0.114</v>
      </c>
    </row>
    <row r="14" spans="1:5" x14ac:dyDescent="0.35">
      <c r="A14" s="175">
        <v>2023</v>
      </c>
      <c r="B14" s="69">
        <v>859.6</v>
      </c>
      <c r="C14" s="70">
        <v>0.65</v>
      </c>
      <c r="D14" s="70">
        <v>0.22600000000000001</v>
      </c>
      <c r="E14" s="71">
        <v>0.124</v>
      </c>
    </row>
    <row r="16" spans="1:5" x14ac:dyDescent="0.35">
      <c r="A16" s="172" t="s">
        <v>63</v>
      </c>
    </row>
    <row r="18" spans="1:1" x14ac:dyDescent="0.35">
      <c r="A18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4"/>
  <sheetViews>
    <sheetView workbookViewId="0"/>
  </sheetViews>
  <sheetFormatPr defaultColWidth="10.90625" defaultRowHeight="14.5" x14ac:dyDescent="0.35"/>
  <cols>
    <col min="1" max="1" width="6.7265625" style="172" customWidth="1"/>
    <col min="2" max="2" width="7.7265625" customWidth="1"/>
    <col min="3" max="3" width="63.7265625" customWidth="1"/>
    <col min="4" max="4" width="37.7265625" customWidth="1"/>
    <col min="5" max="5" width="12.7265625" customWidth="1"/>
    <col min="6" max="6" width="19.7265625" customWidth="1"/>
    <col min="7" max="7" width="7.7265625" customWidth="1"/>
  </cols>
  <sheetData>
    <row r="1" spans="1:7" x14ac:dyDescent="0.35">
      <c r="A1" s="172" t="s">
        <v>154</v>
      </c>
    </row>
    <row r="3" spans="1:7" x14ac:dyDescent="0.35">
      <c r="A3" s="173" t="s">
        <v>1</v>
      </c>
      <c r="B3" s="4" t="s">
        <v>129</v>
      </c>
      <c r="C3" s="4" t="s">
        <v>141</v>
      </c>
      <c r="D3" s="4" t="s">
        <v>142</v>
      </c>
      <c r="E3" s="4" t="s">
        <v>130</v>
      </c>
      <c r="F3" s="4" t="s">
        <v>155</v>
      </c>
      <c r="G3" s="6" t="s">
        <v>144</v>
      </c>
    </row>
    <row r="4" spans="1:7" x14ac:dyDescent="0.35">
      <c r="A4" s="174">
        <v>2013</v>
      </c>
      <c r="B4" s="177">
        <v>0.48799999999999999</v>
      </c>
      <c r="C4" s="177">
        <v>0.52</v>
      </c>
      <c r="D4" s="177">
        <v>3.5000000000000003E-2</v>
      </c>
      <c r="E4" s="177">
        <v>2.5000000000000001E-2</v>
      </c>
      <c r="F4" s="177">
        <v>8.9999999999999993E-3</v>
      </c>
      <c r="G4" s="189">
        <v>7.0000000000000001E-3</v>
      </c>
    </row>
    <row r="5" spans="1:7" x14ac:dyDescent="0.35">
      <c r="A5" s="174">
        <v>2014</v>
      </c>
      <c r="B5" s="177">
        <v>0.48199999999999998</v>
      </c>
      <c r="C5" s="177">
        <v>0.52300000000000002</v>
      </c>
      <c r="D5" s="177">
        <v>3.5000000000000003E-2</v>
      </c>
      <c r="E5" s="177">
        <v>2.5999999999999999E-2</v>
      </c>
      <c r="F5" s="177">
        <v>0.01</v>
      </c>
      <c r="G5" s="189">
        <v>8.0000000000000002E-3</v>
      </c>
    </row>
    <row r="6" spans="1:7" x14ac:dyDescent="0.35">
      <c r="A6" s="174">
        <v>2015</v>
      </c>
      <c r="B6" s="177">
        <v>0.47799999999999998</v>
      </c>
      <c r="C6" s="177">
        <v>0.52400000000000002</v>
      </c>
      <c r="D6" s="177">
        <v>3.5000000000000003E-2</v>
      </c>
      <c r="E6" s="177">
        <v>2.5999999999999999E-2</v>
      </c>
      <c r="F6" s="177">
        <v>0.01</v>
      </c>
      <c r="G6" s="189">
        <v>8.9999999999999993E-3</v>
      </c>
    </row>
    <row r="7" spans="1:7" x14ac:dyDescent="0.35">
      <c r="A7" s="174">
        <v>2016</v>
      </c>
      <c r="B7" s="177">
        <v>0.47899999999999998</v>
      </c>
      <c r="C7" s="177">
        <v>0.52100000000000002</v>
      </c>
      <c r="D7" s="177">
        <v>3.5000000000000003E-2</v>
      </c>
      <c r="E7" s="177">
        <v>2.8000000000000001E-2</v>
      </c>
      <c r="F7" s="177">
        <v>0.01</v>
      </c>
      <c r="G7" s="189">
        <v>0.01</v>
      </c>
    </row>
    <row r="8" spans="1:7" x14ac:dyDescent="0.35">
      <c r="A8" s="174">
        <v>2017</v>
      </c>
      <c r="B8" s="177">
        <v>0.47699999999999998</v>
      </c>
      <c r="C8" s="177">
        <v>0.52100000000000002</v>
      </c>
      <c r="D8" s="177">
        <v>3.5000000000000003E-2</v>
      </c>
      <c r="E8" s="177">
        <v>2.8000000000000001E-2</v>
      </c>
      <c r="F8" s="177">
        <v>0.01</v>
      </c>
      <c r="G8" s="189">
        <v>1.0999999999999999E-2</v>
      </c>
    </row>
    <row r="9" spans="1:7" x14ac:dyDescent="0.35">
      <c r="A9" s="174">
        <v>2018</v>
      </c>
      <c r="B9" s="177">
        <v>0.47499999999999998</v>
      </c>
      <c r="C9" s="177">
        <v>0.52400000000000002</v>
      </c>
      <c r="D9" s="177">
        <v>3.5999999999999997E-2</v>
      </c>
      <c r="E9" s="177">
        <v>2.7E-2</v>
      </c>
      <c r="F9" s="177">
        <v>1.0999999999999999E-2</v>
      </c>
      <c r="G9" s="189">
        <v>1.2999999999999999E-2</v>
      </c>
    </row>
    <row r="10" spans="1:7" x14ac:dyDescent="0.35">
      <c r="A10" s="174">
        <v>2019</v>
      </c>
      <c r="B10" s="177">
        <v>0.495</v>
      </c>
      <c r="C10" s="177">
        <v>0.50800000000000001</v>
      </c>
      <c r="D10" s="177">
        <v>3.5000000000000003E-2</v>
      </c>
      <c r="E10" s="177">
        <v>2.7E-2</v>
      </c>
      <c r="F10" s="177">
        <v>1.0999999999999999E-2</v>
      </c>
      <c r="G10" s="189">
        <v>1.2E-2</v>
      </c>
    </row>
    <row r="11" spans="1:7" x14ac:dyDescent="0.35">
      <c r="A11" s="174">
        <v>2020</v>
      </c>
      <c r="B11" s="177">
        <v>0.48499999999999999</v>
      </c>
      <c r="C11" s="177">
        <v>0.51300000000000001</v>
      </c>
      <c r="D11" s="177">
        <v>2.8000000000000001E-2</v>
      </c>
      <c r="E11" s="177">
        <v>2.4E-2</v>
      </c>
      <c r="F11" s="177">
        <v>8.9999999999999993E-3</v>
      </c>
      <c r="G11" s="189">
        <v>1.4999999999999999E-2</v>
      </c>
    </row>
    <row r="12" spans="1:7" x14ac:dyDescent="0.35">
      <c r="A12" s="174">
        <v>2021</v>
      </c>
      <c r="B12" s="177">
        <v>0.49199999999999999</v>
      </c>
      <c r="C12" s="177">
        <v>0.50600000000000001</v>
      </c>
      <c r="D12" s="177">
        <v>0.03</v>
      </c>
      <c r="E12" s="177">
        <v>2.5999999999999999E-2</v>
      </c>
      <c r="F12" s="177">
        <v>8.9999999999999993E-3</v>
      </c>
      <c r="G12" s="189">
        <v>1.4E-2</v>
      </c>
    </row>
    <row r="13" spans="1:7" x14ac:dyDescent="0.35">
      <c r="A13" s="174">
        <v>2022</v>
      </c>
      <c r="B13" s="177">
        <v>0.499</v>
      </c>
      <c r="C13" s="177">
        <v>0.502</v>
      </c>
      <c r="D13" s="177">
        <v>3.2000000000000001E-2</v>
      </c>
      <c r="E13" s="177">
        <v>2.8000000000000001E-2</v>
      </c>
      <c r="F13" s="177">
        <v>1.0999999999999999E-2</v>
      </c>
      <c r="G13" s="189">
        <v>1.2999999999999999E-2</v>
      </c>
    </row>
    <row r="14" spans="1:7" x14ac:dyDescent="0.35">
      <c r="A14" s="175">
        <v>2023</v>
      </c>
      <c r="B14" s="178">
        <v>0.50700000000000001</v>
      </c>
      <c r="C14" s="178">
        <v>0.5</v>
      </c>
      <c r="D14" s="178">
        <v>3.1E-2</v>
      </c>
      <c r="E14" s="178">
        <v>2.8000000000000001E-2</v>
      </c>
      <c r="F14" s="178">
        <v>1.0999999999999999E-2</v>
      </c>
      <c r="G14" s="190">
        <v>1.4999999999999999E-2</v>
      </c>
    </row>
    <row r="16" spans="1:7" x14ac:dyDescent="0.35">
      <c r="A16" s="172" t="s">
        <v>63</v>
      </c>
    </row>
    <row r="18" spans="1:1" x14ac:dyDescent="0.35">
      <c r="A18" s="172" t="s">
        <v>118</v>
      </c>
    </row>
    <row r="19" spans="1:1" x14ac:dyDescent="0.35">
      <c r="A19" s="172" t="s">
        <v>119</v>
      </c>
    </row>
    <row r="20" spans="1:1" x14ac:dyDescent="0.35">
      <c r="A20" s="172" t="s">
        <v>120</v>
      </c>
    </row>
    <row r="21" spans="1:1" x14ac:dyDescent="0.35">
      <c r="A21" s="172" t="s">
        <v>121</v>
      </c>
    </row>
    <row r="22" spans="1:1" x14ac:dyDescent="0.35">
      <c r="A22" s="172" t="s">
        <v>122</v>
      </c>
    </row>
    <row r="24" spans="1:1" x14ac:dyDescent="0.35">
      <c r="A24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0"/>
  <sheetViews>
    <sheetView workbookViewId="0"/>
  </sheetViews>
  <sheetFormatPr defaultColWidth="10.90625" defaultRowHeight="14.5" x14ac:dyDescent="0.35"/>
  <cols>
    <col min="1" max="1" width="112.7265625" customWidth="1"/>
    <col min="2" max="2" width="18.7265625" customWidth="1"/>
  </cols>
  <sheetData>
    <row r="1" spans="1:2" x14ac:dyDescent="0.35">
      <c r="A1" t="s">
        <v>156</v>
      </c>
    </row>
    <row r="3" spans="1:2" x14ac:dyDescent="0.35">
      <c r="A3" s="5" t="s">
        <v>92</v>
      </c>
      <c r="B3" s="6" t="s">
        <v>66</v>
      </c>
    </row>
    <row r="4" spans="1:2" x14ac:dyDescent="0.35">
      <c r="A4" s="2" t="s">
        <v>157</v>
      </c>
      <c r="B4" s="72">
        <v>267249</v>
      </c>
    </row>
    <row r="5" spans="1:2" x14ac:dyDescent="0.35">
      <c r="A5" s="2" t="s">
        <v>158</v>
      </c>
      <c r="B5" s="72">
        <v>250357</v>
      </c>
    </row>
    <row r="6" spans="1:2" x14ac:dyDescent="0.35">
      <c r="A6" s="8" t="s">
        <v>159</v>
      </c>
      <c r="B6" s="73">
        <v>39445</v>
      </c>
    </row>
    <row r="8" spans="1:2" x14ac:dyDescent="0.35">
      <c r="A8" t="s">
        <v>63</v>
      </c>
    </row>
    <row r="10" spans="1:2" x14ac:dyDescent="0.35">
      <c r="A1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15"/>
  <sheetViews>
    <sheetView workbookViewId="0"/>
  </sheetViews>
  <sheetFormatPr defaultColWidth="10.90625" defaultRowHeight="14.5" x14ac:dyDescent="0.35"/>
  <cols>
    <col min="1" max="1" width="29.7265625" customWidth="1"/>
    <col min="2" max="2" width="63.7265625" customWidth="1"/>
    <col min="3" max="3" width="37.7265625" customWidth="1"/>
    <col min="4" max="4" width="18.7265625" customWidth="1"/>
    <col min="5" max="5" width="19.7265625" customWidth="1"/>
  </cols>
  <sheetData>
    <row r="1" spans="1:5" x14ac:dyDescent="0.35">
      <c r="A1" t="s">
        <v>160</v>
      </c>
    </row>
    <row r="3" spans="1:5" x14ac:dyDescent="0.35">
      <c r="A3" s="5" t="s">
        <v>95</v>
      </c>
      <c r="B3" s="4" t="s">
        <v>141</v>
      </c>
      <c r="C3" s="4" t="s">
        <v>142</v>
      </c>
      <c r="D3" s="4" t="s">
        <v>66</v>
      </c>
      <c r="E3" s="6" t="s">
        <v>161</v>
      </c>
    </row>
    <row r="4" spans="1:5" x14ac:dyDescent="0.35">
      <c r="A4" s="2" t="s">
        <v>162</v>
      </c>
      <c r="B4" t="s">
        <v>162</v>
      </c>
      <c r="C4" t="s">
        <v>163</v>
      </c>
      <c r="D4" s="74">
        <v>118377</v>
      </c>
      <c r="E4" s="75">
        <v>0.21</v>
      </c>
    </row>
    <row r="5" spans="1:5" x14ac:dyDescent="0.35">
      <c r="A5" s="2" t="s">
        <v>163</v>
      </c>
      <c r="B5" t="s">
        <v>162</v>
      </c>
      <c r="C5" t="s">
        <v>163</v>
      </c>
      <c r="D5" s="74">
        <v>174318</v>
      </c>
      <c r="E5" s="75">
        <v>0.31</v>
      </c>
    </row>
    <row r="6" spans="1:5" x14ac:dyDescent="0.35">
      <c r="A6" s="2" t="s">
        <v>162</v>
      </c>
      <c r="B6" t="s">
        <v>163</v>
      </c>
      <c r="C6" t="s">
        <v>163</v>
      </c>
      <c r="D6" s="74">
        <v>219833</v>
      </c>
      <c r="E6" s="75">
        <v>0.38</v>
      </c>
    </row>
    <row r="7" spans="1:5" x14ac:dyDescent="0.35">
      <c r="A7" s="2" t="s">
        <v>162</v>
      </c>
      <c r="B7" t="s">
        <v>162</v>
      </c>
      <c r="C7" t="s">
        <v>162</v>
      </c>
      <c r="D7" s="74">
        <v>20827</v>
      </c>
      <c r="E7" s="75">
        <v>0.04</v>
      </c>
    </row>
    <row r="8" spans="1:5" x14ac:dyDescent="0.35">
      <c r="A8" s="2" t="s">
        <v>162</v>
      </c>
      <c r="B8" t="s">
        <v>163</v>
      </c>
      <c r="C8" t="s">
        <v>162</v>
      </c>
      <c r="D8" s="74">
        <v>6232</v>
      </c>
      <c r="E8" s="75">
        <v>0.01</v>
      </c>
    </row>
    <row r="9" spans="1:5" x14ac:dyDescent="0.35">
      <c r="A9" s="2" t="s">
        <v>163</v>
      </c>
      <c r="B9" t="s">
        <v>163</v>
      </c>
      <c r="C9" t="s">
        <v>163</v>
      </c>
      <c r="D9" s="74">
        <v>15685</v>
      </c>
      <c r="E9" s="75">
        <v>0.03</v>
      </c>
    </row>
    <row r="10" spans="1:5" x14ac:dyDescent="0.35">
      <c r="A10" s="2" t="s">
        <v>163</v>
      </c>
      <c r="B10" t="s">
        <v>162</v>
      </c>
      <c r="C10" t="s">
        <v>162</v>
      </c>
      <c r="D10" s="74">
        <v>11197</v>
      </c>
      <c r="E10" s="75">
        <v>0.02</v>
      </c>
    </row>
    <row r="11" spans="1:5" x14ac:dyDescent="0.35">
      <c r="A11" s="8" t="s">
        <v>163</v>
      </c>
      <c r="B11" s="10" t="s">
        <v>163</v>
      </c>
      <c r="C11" s="10" t="s">
        <v>162</v>
      </c>
      <c r="D11" s="76">
        <v>5034</v>
      </c>
      <c r="E11" s="77">
        <v>0.01</v>
      </c>
    </row>
    <row r="13" spans="1:5" x14ac:dyDescent="0.35">
      <c r="A13" t="s">
        <v>63</v>
      </c>
    </row>
    <row r="15" spans="1:5" x14ac:dyDescent="0.35">
      <c r="A1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21"/>
  <sheetViews>
    <sheetView workbookViewId="0"/>
  </sheetViews>
  <sheetFormatPr defaultColWidth="10.90625" defaultRowHeight="14.5" x14ac:dyDescent="0.35"/>
  <cols>
    <col min="1" max="1" width="6.7265625" style="172" customWidth="1"/>
    <col min="2" max="2" width="48.7265625" customWidth="1"/>
    <col min="3" max="3" width="76.7265625" customWidth="1"/>
    <col min="4" max="4" width="102.7265625" customWidth="1"/>
    <col min="5" max="5" width="57.7265625" customWidth="1"/>
  </cols>
  <sheetData>
    <row r="1" spans="1:5" x14ac:dyDescent="0.35">
      <c r="A1" s="172" t="s">
        <v>164</v>
      </c>
    </row>
    <row r="3" spans="1:5" x14ac:dyDescent="0.35">
      <c r="A3" s="173" t="s">
        <v>1</v>
      </c>
      <c r="B3" s="4" t="s">
        <v>165</v>
      </c>
      <c r="C3" s="4" t="s">
        <v>166</v>
      </c>
      <c r="D3" s="4" t="s">
        <v>167</v>
      </c>
      <c r="E3" s="6" t="s">
        <v>168</v>
      </c>
    </row>
    <row r="4" spans="1:5" x14ac:dyDescent="0.35">
      <c r="A4" s="174">
        <v>2013</v>
      </c>
      <c r="B4" s="140">
        <v>212.6</v>
      </c>
      <c r="C4" s="140">
        <v>130.80000000000001</v>
      </c>
      <c r="D4" s="140">
        <v>54.9</v>
      </c>
      <c r="E4" s="138">
        <v>19.399999999999999</v>
      </c>
    </row>
    <row r="5" spans="1:5" x14ac:dyDescent="0.35">
      <c r="A5" s="174">
        <v>2014</v>
      </c>
      <c r="B5" s="140">
        <v>219.3</v>
      </c>
      <c r="C5" s="140">
        <v>134.4</v>
      </c>
      <c r="D5" s="140">
        <v>56.3</v>
      </c>
      <c r="E5" s="138">
        <v>20.7</v>
      </c>
    </row>
    <row r="6" spans="1:5" x14ac:dyDescent="0.35">
      <c r="A6" s="174">
        <v>2015</v>
      </c>
      <c r="B6" s="140">
        <v>223.3</v>
      </c>
      <c r="C6" s="140">
        <v>135.9</v>
      </c>
      <c r="D6" s="140">
        <v>57.7</v>
      </c>
      <c r="E6" s="138">
        <v>21.6</v>
      </c>
    </row>
    <row r="7" spans="1:5" x14ac:dyDescent="0.35">
      <c r="A7" s="174">
        <v>2016</v>
      </c>
      <c r="B7" s="140">
        <v>224.4</v>
      </c>
      <c r="C7" s="140">
        <v>135.30000000000001</v>
      </c>
      <c r="D7" s="140">
        <v>57.7</v>
      </c>
      <c r="E7" s="138">
        <v>22.4</v>
      </c>
    </row>
    <row r="8" spans="1:5" x14ac:dyDescent="0.35">
      <c r="A8" s="174">
        <v>2017</v>
      </c>
      <c r="B8" s="140">
        <v>239.5</v>
      </c>
      <c r="C8" s="140">
        <v>141.69999999999999</v>
      </c>
      <c r="D8" s="140">
        <v>60.4</v>
      </c>
      <c r="E8" s="138">
        <v>26.6</v>
      </c>
    </row>
    <row r="9" spans="1:5" x14ac:dyDescent="0.35">
      <c r="A9" s="174">
        <v>2018</v>
      </c>
      <c r="B9" s="140">
        <v>251.4</v>
      </c>
      <c r="C9" s="140">
        <v>150.1</v>
      </c>
      <c r="D9" s="140">
        <v>61.3</v>
      </c>
      <c r="E9" s="138">
        <v>28</v>
      </c>
    </row>
    <row r="10" spans="1:5" x14ac:dyDescent="0.35">
      <c r="A10" s="174">
        <v>2019</v>
      </c>
      <c r="B10" s="140">
        <v>253.3</v>
      </c>
      <c r="C10" s="140">
        <v>149.4</v>
      </c>
      <c r="D10" s="140">
        <v>63</v>
      </c>
      <c r="E10" s="138">
        <v>28.2</v>
      </c>
    </row>
    <row r="11" spans="1:5" x14ac:dyDescent="0.35">
      <c r="A11" s="174">
        <v>2020</v>
      </c>
      <c r="B11" s="140">
        <v>214.5</v>
      </c>
      <c r="C11" s="140">
        <v>112</v>
      </c>
      <c r="D11" s="140">
        <v>70</v>
      </c>
      <c r="E11" s="138">
        <v>19.7</v>
      </c>
    </row>
    <row r="12" spans="1:5" x14ac:dyDescent="0.35">
      <c r="A12" s="174">
        <v>2021</v>
      </c>
      <c r="B12" s="140">
        <v>243</v>
      </c>
      <c r="C12" s="140">
        <v>128.5</v>
      </c>
      <c r="D12" s="140">
        <v>74.8</v>
      </c>
      <c r="E12" s="138">
        <v>26</v>
      </c>
    </row>
    <row r="13" spans="1:5" x14ac:dyDescent="0.35">
      <c r="A13" s="174">
        <v>2022</v>
      </c>
      <c r="B13" s="140">
        <v>359.7</v>
      </c>
      <c r="C13" s="140">
        <v>208.8</v>
      </c>
      <c r="D13" s="140">
        <v>96.3</v>
      </c>
      <c r="E13" s="138">
        <v>37.1</v>
      </c>
    </row>
    <row r="14" spans="1:5" x14ac:dyDescent="0.35">
      <c r="A14" s="175">
        <v>2023</v>
      </c>
      <c r="B14" s="142">
        <v>425.6</v>
      </c>
      <c r="C14" s="142">
        <v>248.1</v>
      </c>
      <c r="D14" s="142">
        <v>114.9</v>
      </c>
      <c r="E14" s="139">
        <v>44.6</v>
      </c>
    </row>
    <row r="16" spans="1:5" x14ac:dyDescent="0.35">
      <c r="A16" s="172" t="s">
        <v>63</v>
      </c>
    </row>
    <row r="18" spans="1:1" x14ac:dyDescent="0.35">
      <c r="A18" s="172" t="s">
        <v>169</v>
      </c>
    </row>
    <row r="19" spans="1:1" x14ac:dyDescent="0.35">
      <c r="A19" s="172" t="s">
        <v>170</v>
      </c>
    </row>
    <row r="21" spans="1:1" x14ac:dyDescent="0.35">
      <c r="A2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40"/>
  <sheetViews>
    <sheetView workbookViewId="0"/>
  </sheetViews>
  <sheetFormatPr defaultColWidth="10.90625" defaultRowHeight="14.5" x14ac:dyDescent="0.35"/>
  <cols>
    <col min="1" max="1" width="6.7265625" style="172" customWidth="1"/>
    <col min="2" max="2" width="63.7265625" customWidth="1"/>
    <col min="3" max="3" width="41.7265625" customWidth="1"/>
  </cols>
  <sheetData>
    <row r="1" spans="1:3" x14ac:dyDescent="0.35">
      <c r="A1" s="172" t="s">
        <v>171</v>
      </c>
    </row>
    <row r="3" spans="1:3" x14ac:dyDescent="0.35">
      <c r="A3" s="173" t="s">
        <v>1</v>
      </c>
      <c r="B3" s="4" t="s">
        <v>172</v>
      </c>
      <c r="C3" s="6" t="s">
        <v>173</v>
      </c>
    </row>
    <row r="4" spans="1:3" x14ac:dyDescent="0.35">
      <c r="A4" s="174">
        <v>2014</v>
      </c>
      <c r="B4" t="s">
        <v>174</v>
      </c>
      <c r="C4" s="78">
        <v>2.5000000000000001E-2</v>
      </c>
    </row>
    <row r="5" spans="1:3" x14ac:dyDescent="0.35">
      <c r="A5" s="174">
        <v>2014</v>
      </c>
      <c r="B5" t="s">
        <v>175</v>
      </c>
      <c r="C5" s="78">
        <v>6.5000000000000002E-2</v>
      </c>
    </row>
    <row r="6" spans="1:3" x14ac:dyDescent="0.35">
      <c r="A6" s="174">
        <v>2014</v>
      </c>
      <c r="B6" t="s">
        <v>176</v>
      </c>
      <c r="C6" s="78">
        <v>2.8000000000000001E-2</v>
      </c>
    </row>
    <row r="7" spans="1:3" x14ac:dyDescent="0.35">
      <c r="A7" s="174">
        <v>2015</v>
      </c>
      <c r="B7" t="s">
        <v>174</v>
      </c>
      <c r="C7" s="78">
        <v>0.05</v>
      </c>
    </row>
    <row r="8" spans="1:3" x14ac:dyDescent="0.35">
      <c r="A8" s="174">
        <v>2015</v>
      </c>
      <c r="B8" t="s">
        <v>175</v>
      </c>
      <c r="C8" s="78">
        <v>0.109</v>
      </c>
    </row>
    <row r="9" spans="1:3" x14ac:dyDescent="0.35">
      <c r="A9" s="174">
        <v>2015</v>
      </c>
      <c r="B9" t="s">
        <v>176</v>
      </c>
      <c r="C9" s="78">
        <v>3.9E-2</v>
      </c>
    </row>
    <row r="10" spans="1:3" x14ac:dyDescent="0.35">
      <c r="A10" s="174">
        <v>2016</v>
      </c>
      <c r="B10" t="s">
        <v>174</v>
      </c>
      <c r="C10" s="78">
        <v>5.1999999999999998E-2</v>
      </c>
    </row>
    <row r="11" spans="1:3" x14ac:dyDescent="0.35">
      <c r="A11" s="174">
        <v>2016</v>
      </c>
      <c r="B11" t="s">
        <v>175</v>
      </c>
      <c r="C11" s="78">
        <v>0.154</v>
      </c>
    </row>
    <row r="12" spans="1:3" x14ac:dyDescent="0.35">
      <c r="A12" s="174">
        <v>2016</v>
      </c>
      <c r="B12" t="s">
        <v>176</v>
      </c>
      <c r="C12" s="78">
        <v>3.4000000000000002E-2</v>
      </c>
    </row>
    <row r="13" spans="1:3" x14ac:dyDescent="0.35">
      <c r="A13" s="174">
        <v>2017</v>
      </c>
      <c r="B13" t="s">
        <v>174</v>
      </c>
      <c r="C13" s="78">
        <v>0.10100000000000001</v>
      </c>
    </row>
    <row r="14" spans="1:3" x14ac:dyDescent="0.35">
      <c r="A14" s="174">
        <v>2017</v>
      </c>
      <c r="B14" t="s">
        <v>175</v>
      </c>
      <c r="C14" s="78">
        <v>0.371</v>
      </c>
    </row>
    <row r="15" spans="1:3" x14ac:dyDescent="0.35">
      <c r="A15" s="174">
        <v>2017</v>
      </c>
      <c r="B15" t="s">
        <v>176</v>
      </c>
      <c r="C15" s="78">
        <v>8.3000000000000004E-2</v>
      </c>
    </row>
    <row r="16" spans="1:3" x14ac:dyDescent="0.35">
      <c r="A16" s="174">
        <v>2018</v>
      </c>
      <c r="B16" t="s">
        <v>174</v>
      </c>
      <c r="C16" s="78">
        <v>0.11700000000000001</v>
      </c>
    </row>
    <row r="17" spans="1:3" x14ac:dyDescent="0.35">
      <c r="A17" s="174">
        <v>2018</v>
      </c>
      <c r="B17" t="s">
        <v>175</v>
      </c>
      <c r="C17" s="78">
        <v>0.441</v>
      </c>
    </row>
    <row r="18" spans="1:3" x14ac:dyDescent="0.35">
      <c r="A18" s="174">
        <v>2018</v>
      </c>
      <c r="B18" t="s">
        <v>176</v>
      </c>
      <c r="C18" s="78">
        <v>0.14799999999999999</v>
      </c>
    </row>
    <row r="19" spans="1:3" x14ac:dyDescent="0.35">
      <c r="A19" s="174">
        <v>2019</v>
      </c>
      <c r="B19" t="s">
        <v>174</v>
      </c>
      <c r="C19" s="78">
        <v>0.14699999999999999</v>
      </c>
    </row>
    <row r="20" spans="1:3" x14ac:dyDescent="0.35">
      <c r="A20" s="174">
        <v>2019</v>
      </c>
      <c r="B20" t="s">
        <v>175</v>
      </c>
      <c r="C20" s="78">
        <v>0.44900000000000001</v>
      </c>
    </row>
    <row r="21" spans="1:3" x14ac:dyDescent="0.35">
      <c r="A21" s="174">
        <v>2019</v>
      </c>
      <c r="B21" t="s">
        <v>176</v>
      </c>
      <c r="C21" s="78">
        <v>0.14299999999999999</v>
      </c>
    </row>
    <row r="22" spans="1:3" x14ac:dyDescent="0.35">
      <c r="A22" s="174">
        <v>2020</v>
      </c>
      <c r="B22" t="s">
        <v>174</v>
      </c>
      <c r="C22" s="78">
        <v>0.27400000000000002</v>
      </c>
    </row>
    <row r="23" spans="1:3" x14ac:dyDescent="0.35">
      <c r="A23" s="174">
        <v>2020</v>
      </c>
      <c r="B23" t="s">
        <v>175</v>
      </c>
      <c r="C23" s="78">
        <v>1.2E-2</v>
      </c>
    </row>
    <row r="24" spans="1:3" x14ac:dyDescent="0.35">
      <c r="A24" s="174">
        <v>2020</v>
      </c>
      <c r="B24" t="s">
        <v>176</v>
      </c>
      <c r="C24" s="78">
        <v>-0.14299999999999999</v>
      </c>
    </row>
    <row r="25" spans="1:3" x14ac:dyDescent="0.35">
      <c r="A25" s="174">
        <v>2021</v>
      </c>
      <c r="B25" t="s">
        <v>174</v>
      </c>
      <c r="C25" s="78">
        <v>0.36199999999999999</v>
      </c>
    </row>
    <row r="26" spans="1:3" x14ac:dyDescent="0.35">
      <c r="A26" s="174">
        <v>2021</v>
      </c>
      <c r="B26" t="s">
        <v>175</v>
      </c>
      <c r="C26" s="78">
        <v>0.33800000000000002</v>
      </c>
    </row>
    <row r="27" spans="1:3" x14ac:dyDescent="0.35">
      <c r="A27" s="174">
        <v>2021</v>
      </c>
      <c r="B27" t="s">
        <v>176</v>
      </c>
      <c r="C27" s="78">
        <v>-1.7999999999999999E-2</v>
      </c>
    </row>
    <row r="28" spans="1:3" x14ac:dyDescent="0.35">
      <c r="A28" s="174">
        <v>2022</v>
      </c>
      <c r="B28" t="s">
        <v>174</v>
      </c>
      <c r="C28" s="78">
        <v>0.753</v>
      </c>
    </row>
    <row r="29" spans="1:3" x14ac:dyDescent="0.35">
      <c r="A29" s="174">
        <v>2022</v>
      </c>
      <c r="B29" t="s">
        <v>176</v>
      </c>
      <c r="C29" s="78">
        <v>0.59699999999999998</v>
      </c>
    </row>
    <row r="30" spans="1:3" x14ac:dyDescent="0.35">
      <c r="A30" s="174">
        <v>2022</v>
      </c>
      <c r="B30" t="s">
        <v>175</v>
      </c>
      <c r="C30" s="78">
        <v>0.90700000000000003</v>
      </c>
    </row>
    <row r="31" spans="1:3" x14ac:dyDescent="0.35">
      <c r="A31" s="174">
        <v>2023</v>
      </c>
      <c r="B31" t="s">
        <v>174</v>
      </c>
      <c r="C31" s="78">
        <v>1.093</v>
      </c>
    </row>
    <row r="32" spans="1:3" x14ac:dyDescent="0.35">
      <c r="A32" s="174">
        <v>2023</v>
      </c>
      <c r="B32" t="s">
        <v>175</v>
      </c>
      <c r="C32" s="78">
        <v>1.2929999999999999</v>
      </c>
    </row>
    <row r="33" spans="1:3" x14ac:dyDescent="0.35">
      <c r="A33" s="175">
        <v>2023</v>
      </c>
      <c r="B33" s="10" t="s">
        <v>176</v>
      </c>
      <c r="C33" s="79">
        <v>0.89700000000000002</v>
      </c>
    </row>
    <row r="35" spans="1:3" x14ac:dyDescent="0.35">
      <c r="A35" s="172" t="s">
        <v>63</v>
      </c>
    </row>
    <row r="37" spans="1:3" x14ac:dyDescent="0.35">
      <c r="A37" s="172" t="s">
        <v>177</v>
      </c>
    </row>
    <row r="38" spans="1:3" x14ac:dyDescent="0.35">
      <c r="A38" s="172" t="s">
        <v>170</v>
      </c>
    </row>
    <row r="40" spans="1:3" x14ac:dyDescent="0.35">
      <c r="A40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21"/>
  <sheetViews>
    <sheetView workbookViewId="0"/>
  </sheetViews>
  <sheetFormatPr defaultColWidth="10.90625" defaultRowHeight="14.5" x14ac:dyDescent="0.35"/>
  <cols>
    <col min="1" max="1" width="6.7265625" style="172" customWidth="1"/>
    <col min="2" max="2" width="64.7265625" customWidth="1"/>
  </cols>
  <sheetData>
    <row r="1" spans="1:2" x14ac:dyDescent="0.35">
      <c r="A1" s="172" t="s">
        <v>178</v>
      </c>
    </row>
    <row r="3" spans="1:2" x14ac:dyDescent="0.35">
      <c r="A3" s="173" t="s">
        <v>1</v>
      </c>
      <c r="B3" s="6" t="s">
        <v>179</v>
      </c>
    </row>
    <row r="4" spans="1:2" x14ac:dyDescent="0.35">
      <c r="A4" s="174">
        <v>2013</v>
      </c>
      <c r="B4" s="80">
        <v>695.28</v>
      </c>
    </row>
    <row r="5" spans="1:2" x14ac:dyDescent="0.35">
      <c r="A5" s="174">
        <v>2014</v>
      </c>
      <c r="B5" s="80">
        <v>718.23</v>
      </c>
    </row>
    <row r="6" spans="1:2" x14ac:dyDescent="0.35">
      <c r="A6" s="174">
        <v>2015</v>
      </c>
      <c r="B6" s="80">
        <v>736.77</v>
      </c>
    </row>
    <row r="7" spans="1:2" x14ac:dyDescent="0.35">
      <c r="A7" s="174">
        <v>2016</v>
      </c>
      <c r="B7" s="80">
        <v>750.7</v>
      </c>
    </row>
    <row r="8" spans="1:2" x14ac:dyDescent="0.35">
      <c r="A8" s="174">
        <v>2017</v>
      </c>
      <c r="B8" s="80">
        <v>816.32</v>
      </c>
    </row>
    <row r="9" spans="1:2" x14ac:dyDescent="0.35">
      <c r="A9" s="174">
        <v>2018</v>
      </c>
      <c r="B9" s="80">
        <v>875.49</v>
      </c>
    </row>
    <row r="10" spans="1:2" x14ac:dyDescent="0.35">
      <c r="A10" s="174">
        <v>2019</v>
      </c>
      <c r="B10" s="80">
        <v>959.31</v>
      </c>
    </row>
    <row r="11" spans="1:2" x14ac:dyDescent="0.35">
      <c r="A11" s="174">
        <v>2020</v>
      </c>
      <c r="B11" s="80">
        <v>860.95</v>
      </c>
    </row>
    <row r="12" spans="1:2" x14ac:dyDescent="0.35">
      <c r="A12" s="174">
        <v>2021</v>
      </c>
      <c r="B12" s="80">
        <v>959.78</v>
      </c>
    </row>
    <row r="13" spans="1:2" x14ac:dyDescent="0.35">
      <c r="A13" s="174">
        <v>2022</v>
      </c>
      <c r="B13" s="80">
        <v>1355.33</v>
      </c>
    </row>
    <row r="14" spans="1:2" x14ac:dyDescent="0.35">
      <c r="A14" s="175">
        <v>2023</v>
      </c>
      <c r="B14" s="81">
        <v>1658.34</v>
      </c>
    </row>
    <row r="16" spans="1:2" x14ac:dyDescent="0.35">
      <c r="A16" s="172" t="s">
        <v>63</v>
      </c>
    </row>
    <row r="18" spans="1:1" x14ac:dyDescent="0.35">
      <c r="A18" s="172" t="s">
        <v>169</v>
      </c>
    </row>
    <row r="19" spans="1:1" x14ac:dyDescent="0.35">
      <c r="A19" s="172" t="s">
        <v>170</v>
      </c>
    </row>
    <row r="21" spans="1:1" x14ac:dyDescent="0.35">
      <c r="A2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21"/>
  <sheetViews>
    <sheetView workbookViewId="0"/>
  </sheetViews>
  <sheetFormatPr defaultColWidth="10.90625" defaultRowHeight="14.5" x14ac:dyDescent="0.35"/>
  <cols>
    <col min="1" max="1" width="6.7265625" style="172" customWidth="1"/>
    <col min="2" max="2" width="18.7265625" customWidth="1"/>
    <col min="3" max="3" width="27.7265625" customWidth="1"/>
    <col min="4" max="4" width="32.7265625" customWidth="1"/>
    <col min="5" max="5" width="24.7265625" customWidth="1"/>
  </cols>
  <sheetData>
    <row r="1" spans="1:5" x14ac:dyDescent="0.35">
      <c r="A1" s="172" t="s">
        <v>180</v>
      </c>
    </row>
    <row r="3" spans="1:5" x14ac:dyDescent="0.35">
      <c r="A3" s="173" t="s">
        <v>1</v>
      </c>
      <c r="B3" s="4" t="s">
        <v>181</v>
      </c>
      <c r="C3" s="4" t="s">
        <v>182</v>
      </c>
      <c r="D3" s="4" t="s">
        <v>183</v>
      </c>
      <c r="E3" s="6" t="s">
        <v>184</v>
      </c>
    </row>
    <row r="4" spans="1:5" x14ac:dyDescent="0.35">
      <c r="A4" s="174">
        <v>2013</v>
      </c>
      <c r="B4" s="181">
        <v>54.91</v>
      </c>
      <c r="C4" s="181">
        <v>39.450000000000003</v>
      </c>
      <c r="D4" s="181">
        <v>7.23</v>
      </c>
      <c r="E4" s="185">
        <v>7.89</v>
      </c>
    </row>
    <row r="5" spans="1:5" x14ac:dyDescent="0.35">
      <c r="A5" s="174">
        <v>2014</v>
      </c>
      <c r="B5" s="181">
        <v>56.3</v>
      </c>
      <c r="C5" s="181">
        <v>39.770000000000003</v>
      </c>
      <c r="D5" s="181">
        <v>7.34</v>
      </c>
      <c r="E5" s="185">
        <v>8.8699999999999992</v>
      </c>
    </row>
    <row r="6" spans="1:5" x14ac:dyDescent="0.35">
      <c r="A6" s="174">
        <v>2015</v>
      </c>
      <c r="B6" s="181">
        <v>57.66</v>
      </c>
      <c r="C6" s="181">
        <v>39.94</v>
      </c>
      <c r="D6" s="181">
        <v>7.61</v>
      </c>
      <c r="E6" s="185">
        <v>9.8000000000000007</v>
      </c>
    </row>
    <row r="7" spans="1:5" x14ac:dyDescent="0.35">
      <c r="A7" s="174">
        <v>2016</v>
      </c>
      <c r="B7" s="181">
        <v>57.74</v>
      </c>
      <c r="C7" s="181">
        <v>39.29</v>
      </c>
      <c r="D7" s="181">
        <v>7.69</v>
      </c>
      <c r="E7" s="185">
        <v>10.43</v>
      </c>
    </row>
    <row r="8" spans="1:5" x14ac:dyDescent="0.35">
      <c r="A8" s="174">
        <v>2017</v>
      </c>
      <c r="B8" s="181">
        <v>60.44</v>
      </c>
      <c r="C8" s="181">
        <v>40.31</v>
      </c>
      <c r="D8" s="181">
        <v>7.81</v>
      </c>
      <c r="E8" s="185">
        <v>11.9</v>
      </c>
    </row>
    <row r="9" spans="1:5" x14ac:dyDescent="0.35">
      <c r="A9" s="174">
        <v>2018</v>
      </c>
      <c r="B9" s="181">
        <v>61.35</v>
      </c>
      <c r="C9" s="181">
        <v>39.86</v>
      </c>
      <c r="D9" s="181">
        <v>7.79</v>
      </c>
      <c r="E9" s="185">
        <v>13.3</v>
      </c>
    </row>
    <row r="10" spans="1:5" x14ac:dyDescent="0.35">
      <c r="A10" s="174">
        <v>2019</v>
      </c>
      <c r="B10" s="181">
        <v>62.99</v>
      </c>
      <c r="C10" s="181">
        <v>39</v>
      </c>
      <c r="D10" s="181">
        <v>8.42</v>
      </c>
      <c r="E10" s="185">
        <v>15.18</v>
      </c>
    </row>
    <row r="11" spans="1:5" x14ac:dyDescent="0.35">
      <c r="A11" s="174">
        <v>2020</v>
      </c>
      <c r="B11" s="181">
        <v>69.97</v>
      </c>
      <c r="C11" s="181">
        <v>40.26</v>
      </c>
      <c r="D11" s="181">
        <v>9.66</v>
      </c>
      <c r="E11" s="185">
        <v>19.75</v>
      </c>
    </row>
    <row r="12" spans="1:5" x14ac:dyDescent="0.35">
      <c r="A12" s="174">
        <v>2021</v>
      </c>
      <c r="B12" s="181">
        <v>74.81</v>
      </c>
      <c r="C12" s="181">
        <v>42.21</v>
      </c>
      <c r="D12" s="181">
        <v>10.38</v>
      </c>
      <c r="E12" s="185">
        <v>21.96</v>
      </c>
    </row>
    <row r="13" spans="1:5" x14ac:dyDescent="0.35">
      <c r="A13" s="174">
        <v>2022</v>
      </c>
      <c r="B13" s="181">
        <v>96.27</v>
      </c>
      <c r="C13" s="181">
        <v>50.45</v>
      </c>
      <c r="D13" s="181">
        <v>14.57</v>
      </c>
      <c r="E13" s="185">
        <v>30.12</v>
      </c>
    </row>
    <row r="14" spans="1:5" x14ac:dyDescent="0.35">
      <c r="A14" s="175">
        <v>2023</v>
      </c>
      <c r="B14" s="182">
        <v>114.74</v>
      </c>
      <c r="C14" s="182">
        <v>56.67</v>
      </c>
      <c r="D14" s="182">
        <v>17.489999999999998</v>
      </c>
      <c r="E14" s="186">
        <v>39.19</v>
      </c>
    </row>
    <row r="16" spans="1:5" x14ac:dyDescent="0.35">
      <c r="A16" s="172" t="s">
        <v>63</v>
      </c>
    </row>
    <row r="18" spans="1:1" x14ac:dyDescent="0.35">
      <c r="A18" s="172" t="s">
        <v>177</v>
      </c>
    </row>
    <row r="19" spans="1:1" x14ac:dyDescent="0.35">
      <c r="A19" s="172" t="s">
        <v>170</v>
      </c>
    </row>
    <row r="21" spans="1:1" x14ac:dyDescent="0.35">
      <c r="A2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21"/>
  <sheetViews>
    <sheetView workbookViewId="0"/>
  </sheetViews>
  <sheetFormatPr defaultColWidth="10.90625" defaultRowHeight="14.5" x14ac:dyDescent="0.35"/>
  <cols>
    <col min="1" max="1" width="6.7265625" customWidth="1"/>
    <col min="2" max="2" width="18.7265625" customWidth="1"/>
    <col min="3" max="3" width="31.7265625" customWidth="1"/>
    <col min="4" max="4" width="27.7265625" customWidth="1"/>
    <col min="5" max="5" width="31.7265625" customWidth="1"/>
  </cols>
  <sheetData>
    <row r="1" spans="1:5" x14ac:dyDescent="0.35">
      <c r="A1" t="s">
        <v>185</v>
      </c>
    </row>
    <row r="3" spans="1:5" x14ac:dyDescent="0.35">
      <c r="A3" s="5" t="s">
        <v>1</v>
      </c>
      <c r="B3" s="4" t="s">
        <v>181</v>
      </c>
      <c r="C3" s="4" t="s">
        <v>186</v>
      </c>
      <c r="D3" s="4" t="s">
        <v>187</v>
      </c>
      <c r="E3" s="6" t="s">
        <v>188</v>
      </c>
    </row>
    <row r="4" spans="1:5" x14ac:dyDescent="0.35">
      <c r="A4" s="174">
        <v>2013</v>
      </c>
      <c r="B4" s="191">
        <v>39.450000000000003</v>
      </c>
      <c r="C4" s="191">
        <v>6.48</v>
      </c>
      <c r="D4" s="191">
        <v>8.81</v>
      </c>
      <c r="E4" s="192">
        <v>24.16</v>
      </c>
    </row>
    <row r="5" spans="1:5" x14ac:dyDescent="0.35">
      <c r="A5" s="174">
        <v>2014</v>
      </c>
      <c r="B5" s="191">
        <v>39.770000000000003</v>
      </c>
      <c r="C5" s="191">
        <v>6.24</v>
      </c>
      <c r="D5" s="191">
        <v>8.59</v>
      </c>
      <c r="E5" s="192">
        <v>24.94</v>
      </c>
    </row>
    <row r="6" spans="1:5" x14ac:dyDescent="0.35">
      <c r="A6" s="174">
        <v>2015</v>
      </c>
      <c r="B6" s="191">
        <v>39.94</v>
      </c>
      <c r="C6" s="191">
        <v>6.07</v>
      </c>
      <c r="D6" s="191">
        <v>8.0500000000000007</v>
      </c>
      <c r="E6" s="192">
        <v>25.82</v>
      </c>
    </row>
    <row r="7" spans="1:5" x14ac:dyDescent="0.35">
      <c r="A7" s="174">
        <v>2016</v>
      </c>
      <c r="B7" s="191">
        <v>39.29</v>
      </c>
      <c r="C7" s="191">
        <v>5.72</v>
      </c>
      <c r="D7" s="191">
        <v>7.55</v>
      </c>
      <c r="E7" s="192">
        <v>26.02</v>
      </c>
    </row>
    <row r="8" spans="1:5" x14ac:dyDescent="0.35">
      <c r="A8" s="174">
        <v>2017</v>
      </c>
      <c r="B8" s="191">
        <v>40.31</v>
      </c>
      <c r="C8" s="191">
        <v>5.99</v>
      </c>
      <c r="D8" s="191">
        <v>7.39</v>
      </c>
      <c r="E8" s="192">
        <v>26.93</v>
      </c>
    </row>
    <row r="9" spans="1:5" x14ac:dyDescent="0.35">
      <c r="A9" s="174">
        <v>2018</v>
      </c>
      <c r="B9" s="191">
        <v>39.86</v>
      </c>
      <c r="C9" s="191">
        <v>6.37</v>
      </c>
      <c r="D9" s="191">
        <v>6.76</v>
      </c>
      <c r="E9" s="192">
        <v>26.73</v>
      </c>
    </row>
    <row r="10" spans="1:5" x14ac:dyDescent="0.35">
      <c r="A10" s="174">
        <v>2019</v>
      </c>
      <c r="B10" s="191">
        <v>39</v>
      </c>
      <c r="C10" s="191">
        <v>7.03</v>
      </c>
      <c r="D10" s="191">
        <v>5.95</v>
      </c>
      <c r="E10" s="192">
        <v>26.02</v>
      </c>
    </row>
    <row r="11" spans="1:5" x14ac:dyDescent="0.35">
      <c r="A11" s="174">
        <v>2020</v>
      </c>
      <c r="B11" s="191">
        <v>40.26</v>
      </c>
      <c r="C11" s="191">
        <v>5.99</v>
      </c>
      <c r="D11" s="191">
        <v>6.13</v>
      </c>
      <c r="E11" s="192">
        <v>28.15</v>
      </c>
    </row>
    <row r="12" spans="1:5" x14ac:dyDescent="0.35">
      <c r="A12" s="174">
        <v>2021</v>
      </c>
      <c r="B12" s="191">
        <v>42.21</v>
      </c>
      <c r="C12" s="191">
        <v>7.25</v>
      </c>
      <c r="D12" s="191">
        <v>5.47</v>
      </c>
      <c r="E12" s="192">
        <v>29.49</v>
      </c>
    </row>
    <row r="13" spans="1:5" x14ac:dyDescent="0.35">
      <c r="A13" s="174">
        <v>2022</v>
      </c>
      <c r="B13" s="191">
        <v>50.45</v>
      </c>
      <c r="C13" s="191">
        <v>9.4499999999999993</v>
      </c>
      <c r="D13" s="191">
        <v>6.07</v>
      </c>
      <c r="E13" s="192">
        <v>34.92</v>
      </c>
    </row>
    <row r="14" spans="1:5" x14ac:dyDescent="0.35">
      <c r="A14" s="175">
        <v>2023</v>
      </c>
      <c r="B14" s="193">
        <v>56.67</v>
      </c>
      <c r="C14" s="193">
        <v>10.92</v>
      </c>
      <c r="D14" s="193">
        <v>6.79</v>
      </c>
      <c r="E14" s="194">
        <v>38.96</v>
      </c>
    </row>
    <row r="16" spans="1:5" x14ac:dyDescent="0.35">
      <c r="A16" t="s">
        <v>63</v>
      </c>
    </row>
    <row r="18" spans="1:1" x14ac:dyDescent="0.35">
      <c r="A18" t="s">
        <v>177</v>
      </c>
    </row>
    <row r="19" spans="1:1" x14ac:dyDescent="0.35">
      <c r="A19" t="s">
        <v>170</v>
      </c>
    </row>
    <row r="21" spans="1:1" x14ac:dyDescent="0.35">
      <c r="A2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workbookViewId="0"/>
  </sheetViews>
  <sheetFormatPr defaultColWidth="10.90625" defaultRowHeight="14.5" x14ac:dyDescent="0.35"/>
  <cols>
    <col min="1" max="1" width="6.7265625" style="172" customWidth="1"/>
    <col min="2" max="2" width="17.7265625" customWidth="1"/>
    <col min="3" max="3" width="18.7265625" customWidth="1"/>
    <col min="4" max="5" width="42.7265625" customWidth="1"/>
  </cols>
  <sheetData>
    <row r="1" spans="1:5" x14ac:dyDescent="0.35">
      <c r="A1" s="172" t="s">
        <v>39</v>
      </c>
    </row>
    <row r="3" spans="1:5" x14ac:dyDescent="0.35">
      <c r="A3" s="173" t="s">
        <v>1</v>
      </c>
      <c r="B3" s="4" t="s">
        <v>2</v>
      </c>
      <c r="C3" s="4" t="s">
        <v>3</v>
      </c>
      <c r="D3" s="4" t="s">
        <v>4</v>
      </c>
      <c r="E3" s="6" t="s">
        <v>5</v>
      </c>
    </row>
    <row r="4" spans="1:5" x14ac:dyDescent="0.35">
      <c r="A4" s="174">
        <v>2014</v>
      </c>
      <c r="B4" t="s">
        <v>6</v>
      </c>
      <c r="C4" s="12">
        <v>3.1E-2</v>
      </c>
      <c r="D4" s="12">
        <v>2.7E-2</v>
      </c>
      <c r="E4" s="13">
        <v>3.5999999999999997E-2</v>
      </c>
    </row>
    <row r="5" spans="1:5" x14ac:dyDescent="0.35">
      <c r="A5" s="174">
        <v>2019</v>
      </c>
      <c r="B5" t="s">
        <v>6</v>
      </c>
      <c r="C5" s="12">
        <v>3.1E-2</v>
      </c>
      <c r="D5" s="12">
        <v>2.7E-2</v>
      </c>
      <c r="E5" s="13">
        <v>3.5999999999999997E-2</v>
      </c>
    </row>
    <row r="6" spans="1:5" x14ac:dyDescent="0.35">
      <c r="A6" s="174">
        <v>2014</v>
      </c>
      <c r="B6" t="s">
        <v>7</v>
      </c>
      <c r="C6" s="12">
        <v>3.5999999999999997E-2</v>
      </c>
      <c r="D6" s="12">
        <v>3.1E-2</v>
      </c>
      <c r="E6" s="13">
        <v>0.04</v>
      </c>
    </row>
    <row r="7" spans="1:5" x14ac:dyDescent="0.35">
      <c r="A7" s="174">
        <v>2019</v>
      </c>
      <c r="B7" t="s">
        <v>7</v>
      </c>
      <c r="C7" s="12">
        <v>3.5000000000000003E-2</v>
      </c>
      <c r="D7" s="12">
        <v>3.1E-2</v>
      </c>
      <c r="E7" s="13">
        <v>4.1000000000000002E-2</v>
      </c>
    </row>
    <row r="8" spans="1:5" x14ac:dyDescent="0.35">
      <c r="A8" s="174">
        <v>2014</v>
      </c>
      <c r="B8" t="s">
        <v>8</v>
      </c>
      <c r="C8" s="12">
        <v>2.7E-2</v>
      </c>
      <c r="D8" s="12">
        <v>2.4E-2</v>
      </c>
      <c r="E8" s="13">
        <v>3.1E-2</v>
      </c>
    </row>
    <row r="9" spans="1:5" x14ac:dyDescent="0.35">
      <c r="A9" s="174">
        <v>2019</v>
      </c>
      <c r="B9" t="s">
        <v>8</v>
      </c>
      <c r="C9" s="12">
        <v>2.7E-2</v>
      </c>
      <c r="D9" s="12">
        <v>2.3E-2</v>
      </c>
      <c r="E9" s="13">
        <v>3.1E-2</v>
      </c>
    </row>
    <row r="10" spans="1:5" x14ac:dyDescent="0.35">
      <c r="A10" s="174">
        <v>2014</v>
      </c>
      <c r="B10" t="s">
        <v>9</v>
      </c>
      <c r="C10" s="12">
        <v>0.03</v>
      </c>
      <c r="D10" s="12">
        <v>2.5999999999999999E-2</v>
      </c>
      <c r="E10" s="13">
        <v>3.5000000000000003E-2</v>
      </c>
    </row>
    <row r="11" spans="1:5" x14ac:dyDescent="0.35">
      <c r="A11" s="174">
        <v>2019</v>
      </c>
      <c r="B11" t="s">
        <v>9</v>
      </c>
      <c r="C11" s="12">
        <v>0.03</v>
      </c>
      <c r="D11" s="12">
        <v>2.5999999999999999E-2</v>
      </c>
      <c r="E11" s="13">
        <v>3.4000000000000002E-2</v>
      </c>
    </row>
    <row r="12" spans="1:5" x14ac:dyDescent="0.35">
      <c r="A12" s="174">
        <v>2014</v>
      </c>
      <c r="B12" t="s">
        <v>10</v>
      </c>
      <c r="C12" s="12">
        <v>0.03</v>
      </c>
      <c r="D12" s="12">
        <v>2.5999999999999999E-2</v>
      </c>
      <c r="E12" s="13">
        <v>3.5000000000000003E-2</v>
      </c>
    </row>
    <row r="13" spans="1:5" x14ac:dyDescent="0.35">
      <c r="A13" s="174">
        <v>2019</v>
      </c>
      <c r="B13" t="s">
        <v>10</v>
      </c>
      <c r="C13" s="12">
        <v>3.1E-2</v>
      </c>
      <c r="D13" s="12">
        <v>2.7E-2</v>
      </c>
      <c r="E13" s="13">
        <v>3.5999999999999997E-2</v>
      </c>
    </row>
    <row r="14" spans="1:5" x14ac:dyDescent="0.35">
      <c r="A14" s="174">
        <v>2014</v>
      </c>
      <c r="B14" t="s">
        <v>11</v>
      </c>
      <c r="C14" s="12">
        <v>2.9000000000000001E-2</v>
      </c>
      <c r="D14" s="12">
        <v>2.5999999999999999E-2</v>
      </c>
      <c r="E14" s="13">
        <v>3.3000000000000002E-2</v>
      </c>
    </row>
    <row r="15" spans="1:5" x14ac:dyDescent="0.35">
      <c r="A15" s="174">
        <v>2019</v>
      </c>
      <c r="B15" t="s">
        <v>11</v>
      </c>
      <c r="C15" s="12">
        <v>2.9000000000000001E-2</v>
      </c>
      <c r="D15" s="12">
        <v>2.5000000000000001E-2</v>
      </c>
      <c r="E15" s="13">
        <v>3.3000000000000002E-2</v>
      </c>
    </row>
    <row r="16" spans="1:5" x14ac:dyDescent="0.35">
      <c r="A16" s="174">
        <v>2014</v>
      </c>
      <c r="B16" t="s">
        <v>12</v>
      </c>
      <c r="C16" s="12">
        <v>3.5000000000000003E-2</v>
      </c>
      <c r="D16" s="12">
        <v>3.1E-2</v>
      </c>
      <c r="E16" s="13">
        <v>0.04</v>
      </c>
    </row>
    <row r="17" spans="1:5" x14ac:dyDescent="0.35">
      <c r="A17" s="174">
        <v>2019</v>
      </c>
      <c r="B17" t="s">
        <v>12</v>
      </c>
      <c r="C17" s="12">
        <v>3.5000000000000003E-2</v>
      </c>
      <c r="D17" s="12">
        <v>3.1E-2</v>
      </c>
      <c r="E17" s="13">
        <v>0.04</v>
      </c>
    </row>
    <row r="18" spans="1:5" x14ac:dyDescent="0.35">
      <c r="A18" s="174">
        <v>2014</v>
      </c>
      <c r="B18" t="s">
        <v>13</v>
      </c>
      <c r="C18" s="12">
        <v>3.6999999999999998E-2</v>
      </c>
      <c r="D18" s="12">
        <v>3.3000000000000002E-2</v>
      </c>
      <c r="E18" s="13">
        <v>4.2000000000000003E-2</v>
      </c>
    </row>
    <row r="19" spans="1:5" x14ac:dyDescent="0.35">
      <c r="A19" s="174">
        <v>2019</v>
      </c>
      <c r="B19" t="s">
        <v>13</v>
      </c>
      <c r="C19" s="12">
        <v>3.6999999999999998E-2</v>
      </c>
      <c r="D19" s="12">
        <v>3.3000000000000002E-2</v>
      </c>
      <c r="E19" s="13">
        <v>4.2000000000000003E-2</v>
      </c>
    </row>
    <row r="20" spans="1:5" x14ac:dyDescent="0.35">
      <c r="A20" s="174">
        <v>2014</v>
      </c>
      <c r="B20" t="s">
        <v>14</v>
      </c>
      <c r="C20" s="12">
        <v>3.5999999999999997E-2</v>
      </c>
      <c r="D20" s="12">
        <v>3.2000000000000001E-2</v>
      </c>
      <c r="E20" s="13">
        <v>0.04</v>
      </c>
    </row>
    <row r="21" spans="1:5" x14ac:dyDescent="0.35">
      <c r="A21" s="174">
        <v>2019</v>
      </c>
      <c r="B21" t="s">
        <v>14</v>
      </c>
      <c r="C21" s="12">
        <v>3.5999999999999997E-2</v>
      </c>
      <c r="D21" s="12">
        <v>3.2000000000000001E-2</v>
      </c>
      <c r="E21" s="13">
        <v>0.04</v>
      </c>
    </row>
    <row r="22" spans="1:5" x14ac:dyDescent="0.35">
      <c r="A22" s="174">
        <v>2014</v>
      </c>
      <c r="B22" t="s">
        <v>15</v>
      </c>
      <c r="C22" s="12">
        <v>4.2000000000000003E-2</v>
      </c>
      <c r="D22" s="12">
        <v>3.6999999999999998E-2</v>
      </c>
      <c r="E22" s="13">
        <v>4.7E-2</v>
      </c>
    </row>
    <row r="23" spans="1:5" x14ac:dyDescent="0.35">
      <c r="A23" s="174">
        <v>2019</v>
      </c>
      <c r="B23" t="s">
        <v>15</v>
      </c>
      <c r="C23" s="12">
        <v>4.1000000000000002E-2</v>
      </c>
      <c r="D23" s="12">
        <v>3.6999999999999998E-2</v>
      </c>
      <c r="E23" s="13">
        <v>4.7E-2</v>
      </c>
    </row>
    <row r="24" spans="1:5" x14ac:dyDescent="0.35">
      <c r="A24" s="174">
        <v>2014</v>
      </c>
      <c r="B24" t="s">
        <v>16</v>
      </c>
      <c r="C24" s="12">
        <v>3.9E-2</v>
      </c>
      <c r="D24" s="12">
        <v>3.4000000000000002E-2</v>
      </c>
      <c r="E24" s="13">
        <v>4.3999999999999997E-2</v>
      </c>
    </row>
    <row r="25" spans="1:5" x14ac:dyDescent="0.35">
      <c r="A25" s="174">
        <v>2019</v>
      </c>
      <c r="B25" t="s">
        <v>16</v>
      </c>
      <c r="C25" s="12">
        <v>3.7999999999999999E-2</v>
      </c>
      <c r="D25" s="12">
        <v>3.4000000000000002E-2</v>
      </c>
      <c r="E25" s="13">
        <v>4.3999999999999997E-2</v>
      </c>
    </row>
    <row r="26" spans="1:5" x14ac:dyDescent="0.35">
      <c r="A26" s="174">
        <v>2014</v>
      </c>
      <c r="B26" t="s">
        <v>17</v>
      </c>
      <c r="C26" s="12">
        <v>3.5000000000000003E-2</v>
      </c>
      <c r="D26" s="12">
        <v>3.1E-2</v>
      </c>
      <c r="E26" s="13">
        <v>3.9E-2</v>
      </c>
    </row>
    <row r="27" spans="1:5" x14ac:dyDescent="0.35">
      <c r="A27" s="174">
        <v>2019</v>
      </c>
      <c r="B27" t="s">
        <v>17</v>
      </c>
      <c r="C27" s="12">
        <v>3.4000000000000002E-2</v>
      </c>
      <c r="D27" s="12">
        <v>0.03</v>
      </c>
      <c r="E27" s="13">
        <v>3.7999999999999999E-2</v>
      </c>
    </row>
    <row r="28" spans="1:5" x14ac:dyDescent="0.35">
      <c r="A28" s="174">
        <v>2014</v>
      </c>
      <c r="B28" t="s">
        <v>18</v>
      </c>
      <c r="C28" s="12">
        <v>4.8000000000000001E-2</v>
      </c>
      <c r="D28" s="12">
        <v>4.2999999999999997E-2</v>
      </c>
      <c r="E28" s="13">
        <v>5.3999999999999999E-2</v>
      </c>
    </row>
    <row r="29" spans="1:5" x14ac:dyDescent="0.35">
      <c r="A29" s="174">
        <v>2019</v>
      </c>
      <c r="B29" t="s">
        <v>18</v>
      </c>
      <c r="C29" s="12">
        <v>0.05</v>
      </c>
      <c r="D29" s="12">
        <v>4.3999999999999997E-2</v>
      </c>
      <c r="E29" s="13">
        <v>5.8000000000000003E-2</v>
      </c>
    </row>
    <row r="30" spans="1:5" x14ac:dyDescent="0.35">
      <c r="A30" s="174">
        <v>2014</v>
      </c>
      <c r="B30" t="s">
        <v>19</v>
      </c>
      <c r="C30" s="12">
        <v>2.8000000000000001E-2</v>
      </c>
      <c r="D30" s="12">
        <v>2.5000000000000001E-2</v>
      </c>
      <c r="E30" s="13">
        <v>3.3000000000000002E-2</v>
      </c>
    </row>
    <row r="31" spans="1:5" x14ac:dyDescent="0.35">
      <c r="A31" s="174">
        <v>2019</v>
      </c>
      <c r="B31" t="s">
        <v>19</v>
      </c>
      <c r="C31" s="12">
        <v>2.8000000000000001E-2</v>
      </c>
      <c r="D31" s="12">
        <v>2.5000000000000001E-2</v>
      </c>
      <c r="E31" s="13">
        <v>3.3000000000000002E-2</v>
      </c>
    </row>
    <row r="32" spans="1:5" x14ac:dyDescent="0.35">
      <c r="A32" s="174">
        <v>2014</v>
      </c>
      <c r="B32" t="s">
        <v>20</v>
      </c>
      <c r="C32" s="12">
        <v>2.9000000000000001E-2</v>
      </c>
      <c r="D32" s="12">
        <v>2.5000000000000001E-2</v>
      </c>
      <c r="E32" s="13">
        <v>3.4000000000000002E-2</v>
      </c>
    </row>
    <row r="33" spans="1:5" x14ac:dyDescent="0.35">
      <c r="A33" s="174">
        <v>2019</v>
      </c>
      <c r="B33" t="s">
        <v>20</v>
      </c>
      <c r="C33" s="12">
        <v>2.9000000000000001E-2</v>
      </c>
      <c r="D33" s="12">
        <v>2.5999999999999999E-2</v>
      </c>
      <c r="E33" s="13">
        <v>3.4000000000000002E-2</v>
      </c>
    </row>
    <row r="34" spans="1:5" x14ac:dyDescent="0.35">
      <c r="A34" s="174">
        <v>2014</v>
      </c>
      <c r="B34" t="s">
        <v>21</v>
      </c>
      <c r="C34" s="12">
        <v>0.04</v>
      </c>
      <c r="D34" s="12">
        <v>3.6999999999999998E-2</v>
      </c>
      <c r="E34" s="13">
        <v>4.4999999999999998E-2</v>
      </c>
    </row>
    <row r="35" spans="1:5" x14ac:dyDescent="0.35">
      <c r="A35" s="174">
        <v>2019</v>
      </c>
      <c r="B35" t="s">
        <v>21</v>
      </c>
      <c r="C35" s="12">
        <v>4.2000000000000003E-2</v>
      </c>
      <c r="D35" s="12">
        <v>3.7999999999999999E-2</v>
      </c>
      <c r="E35" s="13">
        <v>4.8000000000000001E-2</v>
      </c>
    </row>
    <row r="36" spans="1:5" x14ac:dyDescent="0.35">
      <c r="A36" s="174">
        <v>2014</v>
      </c>
      <c r="B36" t="s">
        <v>22</v>
      </c>
      <c r="C36" s="12">
        <v>3.5000000000000003E-2</v>
      </c>
      <c r="D36" s="12">
        <v>3.1E-2</v>
      </c>
      <c r="E36" s="13">
        <v>3.9E-2</v>
      </c>
    </row>
    <row r="37" spans="1:5" x14ac:dyDescent="0.35">
      <c r="A37" s="174">
        <v>2019</v>
      </c>
      <c r="B37" t="s">
        <v>22</v>
      </c>
      <c r="C37" s="12">
        <v>3.5999999999999997E-2</v>
      </c>
      <c r="D37" s="12">
        <v>3.2000000000000001E-2</v>
      </c>
      <c r="E37" s="13">
        <v>0.04</v>
      </c>
    </row>
    <row r="38" spans="1:5" x14ac:dyDescent="0.35">
      <c r="A38" s="174">
        <v>2014</v>
      </c>
      <c r="B38" t="s">
        <v>23</v>
      </c>
      <c r="C38" s="12">
        <v>3.6999999999999998E-2</v>
      </c>
      <c r="D38" s="12">
        <v>3.3000000000000002E-2</v>
      </c>
      <c r="E38" s="13">
        <v>4.2000000000000003E-2</v>
      </c>
    </row>
    <row r="39" spans="1:5" x14ac:dyDescent="0.35">
      <c r="A39" s="174">
        <v>2019</v>
      </c>
      <c r="B39" t="s">
        <v>23</v>
      </c>
      <c r="C39" s="12">
        <v>3.6999999999999998E-2</v>
      </c>
      <c r="D39" s="12">
        <v>3.3000000000000002E-2</v>
      </c>
      <c r="E39" s="13">
        <v>4.2999999999999997E-2</v>
      </c>
    </row>
    <row r="40" spans="1:5" x14ac:dyDescent="0.35">
      <c r="A40" s="174">
        <v>2014</v>
      </c>
      <c r="B40" t="s">
        <v>24</v>
      </c>
      <c r="C40" s="12">
        <v>0.04</v>
      </c>
      <c r="D40" s="12">
        <v>3.5999999999999997E-2</v>
      </c>
      <c r="E40" s="13">
        <v>4.5999999999999999E-2</v>
      </c>
    </row>
    <row r="41" spans="1:5" x14ac:dyDescent="0.35">
      <c r="A41" s="174">
        <v>2019</v>
      </c>
      <c r="B41" t="s">
        <v>24</v>
      </c>
      <c r="C41" s="12">
        <v>0.04</v>
      </c>
      <c r="D41" s="12">
        <v>3.5000000000000003E-2</v>
      </c>
      <c r="E41" s="13">
        <v>4.4999999999999998E-2</v>
      </c>
    </row>
    <row r="42" spans="1:5" x14ac:dyDescent="0.35">
      <c r="A42" s="174">
        <v>2014</v>
      </c>
      <c r="B42" t="s">
        <v>25</v>
      </c>
      <c r="C42" s="12">
        <v>3.2000000000000001E-2</v>
      </c>
      <c r="D42" s="12">
        <v>2.9000000000000001E-2</v>
      </c>
      <c r="E42" s="13">
        <v>3.6999999999999998E-2</v>
      </c>
    </row>
    <row r="43" spans="1:5" x14ac:dyDescent="0.35">
      <c r="A43" s="174">
        <v>2019</v>
      </c>
      <c r="B43" t="s">
        <v>25</v>
      </c>
      <c r="C43" s="12">
        <v>3.2000000000000001E-2</v>
      </c>
      <c r="D43" s="12">
        <v>2.9000000000000001E-2</v>
      </c>
      <c r="E43" s="13">
        <v>3.6999999999999998E-2</v>
      </c>
    </row>
    <row r="44" spans="1:5" x14ac:dyDescent="0.35">
      <c r="A44" s="174">
        <v>2014</v>
      </c>
      <c r="B44" t="s">
        <v>26</v>
      </c>
      <c r="C44" s="12">
        <v>0.03</v>
      </c>
      <c r="D44" s="12">
        <v>2.5999999999999999E-2</v>
      </c>
      <c r="E44" s="13">
        <v>3.5000000000000003E-2</v>
      </c>
    </row>
    <row r="45" spans="1:5" x14ac:dyDescent="0.35">
      <c r="A45" s="174">
        <v>2019</v>
      </c>
      <c r="B45" t="s">
        <v>26</v>
      </c>
      <c r="C45" s="12">
        <v>3.1E-2</v>
      </c>
      <c r="D45" s="12">
        <v>2.7E-2</v>
      </c>
      <c r="E45" s="13">
        <v>3.5999999999999997E-2</v>
      </c>
    </row>
    <row r="46" spans="1:5" x14ac:dyDescent="0.35">
      <c r="A46" s="174">
        <v>2014</v>
      </c>
      <c r="B46" t="s">
        <v>27</v>
      </c>
      <c r="C46" s="12">
        <v>3.5000000000000003E-2</v>
      </c>
      <c r="D46" s="12">
        <v>3.1E-2</v>
      </c>
      <c r="E46" s="13">
        <v>3.9E-2</v>
      </c>
    </row>
    <row r="47" spans="1:5" x14ac:dyDescent="0.35">
      <c r="A47" s="174">
        <v>2019</v>
      </c>
      <c r="B47" t="s">
        <v>27</v>
      </c>
      <c r="C47" s="12">
        <v>3.5000000000000003E-2</v>
      </c>
      <c r="D47" s="12">
        <v>3.1E-2</v>
      </c>
      <c r="E47" s="13">
        <v>4.1000000000000002E-2</v>
      </c>
    </row>
    <row r="48" spans="1:5" x14ac:dyDescent="0.35">
      <c r="A48" s="174">
        <v>2014</v>
      </c>
      <c r="B48" t="s">
        <v>28</v>
      </c>
      <c r="C48" s="12">
        <v>3.1E-2</v>
      </c>
      <c r="D48" s="12">
        <v>2.8000000000000001E-2</v>
      </c>
      <c r="E48" s="13">
        <v>3.5000000000000003E-2</v>
      </c>
    </row>
    <row r="49" spans="1:5" x14ac:dyDescent="0.35">
      <c r="A49" s="174">
        <v>2019</v>
      </c>
      <c r="B49" t="s">
        <v>28</v>
      </c>
      <c r="C49" s="12">
        <v>3.2000000000000001E-2</v>
      </c>
      <c r="D49" s="12">
        <v>2.9000000000000001E-2</v>
      </c>
      <c r="E49" s="13">
        <v>3.5999999999999997E-2</v>
      </c>
    </row>
    <row r="50" spans="1:5" x14ac:dyDescent="0.35">
      <c r="A50" s="174">
        <v>2014</v>
      </c>
      <c r="B50" t="s">
        <v>29</v>
      </c>
      <c r="C50" s="12">
        <v>2.1000000000000001E-2</v>
      </c>
      <c r="D50" s="12">
        <v>1.9E-2</v>
      </c>
      <c r="E50" s="13">
        <v>2.4E-2</v>
      </c>
    </row>
    <row r="51" spans="1:5" x14ac:dyDescent="0.35">
      <c r="A51" s="174">
        <v>2019</v>
      </c>
      <c r="B51" t="s">
        <v>29</v>
      </c>
      <c r="C51" s="12">
        <v>2.3E-2</v>
      </c>
      <c r="D51" s="12">
        <v>0.02</v>
      </c>
      <c r="E51" s="13">
        <v>2.5000000000000001E-2</v>
      </c>
    </row>
    <row r="52" spans="1:5" x14ac:dyDescent="0.35">
      <c r="A52" s="174">
        <v>2014</v>
      </c>
      <c r="B52" t="s">
        <v>30</v>
      </c>
      <c r="C52" s="12">
        <v>4.3999999999999997E-2</v>
      </c>
      <c r="D52" s="12">
        <v>0.04</v>
      </c>
      <c r="E52" s="13">
        <v>4.8000000000000001E-2</v>
      </c>
    </row>
    <row r="53" spans="1:5" x14ac:dyDescent="0.35">
      <c r="A53" s="174">
        <v>2019</v>
      </c>
      <c r="B53" t="s">
        <v>30</v>
      </c>
      <c r="C53" s="12">
        <v>4.3999999999999997E-2</v>
      </c>
      <c r="D53" s="12">
        <v>3.7999999999999999E-2</v>
      </c>
      <c r="E53" s="13">
        <v>0.05</v>
      </c>
    </row>
    <row r="54" spans="1:5" x14ac:dyDescent="0.35">
      <c r="A54" s="174">
        <v>2014</v>
      </c>
      <c r="B54" t="s">
        <v>31</v>
      </c>
      <c r="C54" s="12">
        <v>2.5999999999999999E-2</v>
      </c>
      <c r="D54" s="12">
        <v>2.3E-2</v>
      </c>
      <c r="E54" s="13">
        <v>3.1E-2</v>
      </c>
    </row>
    <row r="55" spans="1:5" x14ac:dyDescent="0.35">
      <c r="A55" s="174">
        <v>2019</v>
      </c>
      <c r="B55" t="s">
        <v>31</v>
      </c>
      <c r="C55" s="12">
        <v>2.7E-2</v>
      </c>
      <c r="D55" s="12">
        <v>2.3E-2</v>
      </c>
      <c r="E55" s="13">
        <v>3.1E-2</v>
      </c>
    </row>
    <row r="56" spans="1:5" x14ac:dyDescent="0.35">
      <c r="A56" s="174">
        <v>2014</v>
      </c>
      <c r="B56" t="s">
        <v>32</v>
      </c>
      <c r="C56" s="12">
        <v>2.7E-2</v>
      </c>
      <c r="D56" s="12">
        <v>2.4E-2</v>
      </c>
      <c r="E56" s="13">
        <v>3.1E-2</v>
      </c>
    </row>
    <row r="57" spans="1:5" x14ac:dyDescent="0.35">
      <c r="A57" s="174">
        <v>2019</v>
      </c>
      <c r="B57" t="s">
        <v>32</v>
      </c>
      <c r="C57" s="12">
        <v>2.7E-2</v>
      </c>
      <c r="D57" s="12">
        <v>2.4E-2</v>
      </c>
      <c r="E57" s="13">
        <v>3.1E-2</v>
      </c>
    </row>
    <row r="58" spans="1:5" x14ac:dyDescent="0.35">
      <c r="A58" s="174">
        <v>2014</v>
      </c>
      <c r="B58" t="s">
        <v>33</v>
      </c>
      <c r="C58" s="12">
        <v>3.1E-2</v>
      </c>
      <c r="D58" s="12">
        <v>2.7E-2</v>
      </c>
      <c r="E58" s="13">
        <v>3.5999999999999997E-2</v>
      </c>
    </row>
    <row r="59" spans="1:5" x14ac:dyDescent="0.35">
      <c r="A59" s="174">
        <v>2019</v>
      </c>
      <c r="B59" t="s">
        <v>33</v>
      </c>
      <c r="C59" s="12">
        <v>3.1E-2</v>
      </c>
      <c r="D59" s="12">
        <v>2.7E-2</v>
      </c>
      <c r="E59" s="13">
        <v>3.5999999999999997E-2</v>
      </c>
    </row>
    <row r="60" spans="1:5" x14ac:dyDescent="0.35">
      <c r="A60" s="174">
        <v>2014</v>
      </c>
      <c r="B60" t="s">
        <v>34</v>
      </c>
      <c r="C60" s="12">
        <v>4.4999999999999998E-2</v>
      </c>
      <c r="D60" s="12">
        <v>4.1000000000000002E-2</v>
      </c>
      <c r="E60" s="13">
        <v>0.05</v>
      </c>
    </row>
    <row r="61" spans="1:5" x14ac:dyDescent="0.35">
      <c r="A61" s="174">
        <v>2019</v>
      </c>
      <c r="B61" t="s">
        <v>34</v>
      </c>
      <c r="C61" s="12">
        <v>4.7E-2</v>
      </c>
      <c r="D61" s="12">
        <v>4.2000000000000003E-2</v>
      </c>
      <c r="E61" s="13">
        <v>5.1999999999999998E-2</v>
      </c>
    </row>
    <row r="62" spans="1:5" x14ac:dyDescent="0.35">
      <c r="A62" s="174">
        <v>2014</v>
      </c>
      <c r="B62" t="s">
        <v>35</v>
      </c>
      <c r="C62" s="12">
        <v>4.1000000000000002E-2</v>
      </c>
      <c r="D62" s="12">
        <v>3.6999999999999998E-2</v>
      </c>
      <c r="E62" s="13">
        <v>4.5999999999999999E-2</v>
      </c>
    </row>
    <row r="63" spans="1:5" x14ac:dyDescent="0.35">
      <c r="A63" s="174">
        <v>2019</v>
      </c>
      <c r="B63" t="s">
        <v>35</v>
      </c>
      <c r="C63" s="12">
        <v>4.1000000000000002E-2</v>
      </c>
      <c r="D63" s="12">
        <v>3.6999999999999998E-2</v>
      </c>
      <c r="E63" s="13">
        <v>4.5999999999999999E-2</v>
      </c>
    </row>
    <row r="64" spans="1:5" x14ac:dyDescent="0.35">
      <c r="A64" s="174">
        <v>2014</v>
      </c>
      <c r="B64" t="s">
        <v>36</v>
      </c>
      <c r="C64" s="12">
        <v>3.6999999999999998E-2</v>
      </c>
      <c r="D64" s="12">
        <v>3.3000000000000002E-2</v>
      </c>
      <c r="E64" s="13">
        <v>4.2000000000000003E-2</v>
      </c>
    </row>
    <row r="65" spans="1:5" x14ac:dyDescent="0.35">
      <c r="A65" s="174">
        <v>2019</v>
      </c>
      <c r="B65" t="s">
        <v>36</v>
      </c>
      <c r="C65" s="12">
        <v>3.6999999999999998E-2</v>
      </c>
      <c r="D65" s="12">
        <v>3.3000000000000002E-2</v>
      </c>
      <c r="E65" s="13">
        <v>4.2000000000000003E-2</v>
      </c>
    </row>
    <row r="66" spans="1:5" x14ac:dyDescent="0.35">
      <c r="A66" s="174">
        <v>2014</v>
      </c>
      <c r="B66" t="s">
        <v>37</v>
      </c>
      <c r="C66" s="12">
        <v>4.1000000000000002E-2</v>
      </c>
      <c r="D66" s="12">
        <v>3.6999999999999998E-2</v>
      </c>
      <c r="E66" s="13">
        <v>4.5999999999999999E-2</v>
      </c>
    </row>
    <row r="67" spans="1:5" x14ac:dyDescent="0.35">
      <c r="A67" s="175">
        <v>2019</v>
      </c>
      <c r="B67" s="10" t="s">
        <v>37</v>
      </c>
      <c r="C67" s="14">
        <v>4.1000000000000002E-2</v>
      </c>
      <c r="D67" s="14">
        <v>3.5999999999999997E-2</v>
      </c>
      <c r="E67" s="15">
        <v>4.5999999999999999E-2</v>
      </c>
    </row>
    <row r="69" spans="1:5" x14ac:dyDescent="0.35">
      <c r="A69" s="172" t="s">
        <v>38</v>
      </c>
    </row>
    <row r="71" spans="1:5" x14ac:dyDescent="0.35">
      <c r="A7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21"/>
  <sheetViews>
    <sheetView workbookViewId="0"/>
  </sheetViews>
  <sheetFormatPr defaultColWidth="10.90625" defaultRowHeight="14.5" x14ac:dyDescent="0.35"/>
  <cols>
    <col min="1" max="1" width="6.7265625" style="172" customWidth="1"/>
    <col min="2" max="2" width="27.7265625" customWidth="1"/>
  </cols>
  <sheetData>
    <row r="1" spans="1:2" x14ac:dyDescent="0.35">
      <c r="A1" s="172" t="s">
        <v>189</v>
      </c>
    </row>
    <row r="3" spans="1:2" x14ac:dyDescent="0.35">
      <c r="A3" s="173" t="s">
        <v>1</v>
      </c>
      <c r="B3" s="6" t="s">
        <v>190</v>
      </c>
    </row>
    <row r="4" spans="1:2" x14ac:dyDescent="0.35">
      <c r="A4" s="174">
        <v>2013</v>
      </c>
      <c r="B4" s="82">
        <v>953.8</v>
      </c>
    </row>
    <row r="5" spans="1:2" x14ac:dyDescent="0.35">
      <c r="A5" s="174">
        <v>2014</v>
      </c>
      <c r="B5" s="82">
        <v>1025.2</v>
      </c>
    </row>
    <row r="6" spans="1:2" x14ac:dyDescent="0.35">
      <c r="A6" s="174">
        <v>2015</v>
      </c>
      <c r="B6" s="82">
        <v>1091.3</v>
      </c>
    </row>
    <row r="7" spans="1:2" x14ac:dyDescent="0.35">
      <c r="A7" s="174">
        <v>2016</v>
      </c>
      <c r="B7" s="82">
        <v>1153.9000000000001</v>
      </c>
    </row>
    <row r="8" spans="1:2" x14ac:dyDescent="0.35">
      <c r="A8" s="174">
        <v>2017</v>
      </c>
      <c r="B8" s="82">
        <v>1213.5</v>
      </c>
    </row>
    <row r="9" spans="1:2" x14ac:dyDescent="0.35">
      <c r="A9" s="174">
        <v>2018</v>
      </c>
      <c r="B9" s="82">
        <v>1282.0999999999999</v>
      </c>
    </row>
    <row r="10" spans="1:2" x14ac:dyDescent="0.35">
      <c r="A10" s="174">
        <v>2019</v>
      </c>
      <c r="B10" s="82">
        <v>1354</v>
      </c>
    </row>
    <row r="11" spans="1:2" x14ac:dyDescent="0.35">
      <c r="A11" s="174">
        <v>2020</v>
      </c>
      <c r="B11" s="82">
        <v>1379.7</v>
      </c>
    </row>
    <row r="12" spans="1:2" x14ac:dyDescent="0.35">
      <c r="A12" s="174">
        <v>2021</v>
      </c>
      <c r="B12" s="82">
        <v>1518.9</v>
      </c>
    </row>
    <row r="13" spans="1:2" x14ac:dyDescent="0.35">
      <c r="A13" s="174">
        <v>2022</v>
      </c>
      <c r="B13" s="82">
        <v>1619.3</v>
      </c>
    </row>
    <row r="14" spans="1:2" x14ac:dyDescent="0.35">
      <c r="A14" s="175">
        <v>2023</v>
      </c>
      <c r="B14" s="83">
        <v>1740.7</v>
      </c>
    </row>
    <row r="16" spans="1:2" x14ac:dyDescent="0.35">
      <c r="A16" s="172" t="s">
        <v>63</v>
      </c>
    </row>
    <row r="18" spans="1:1" x14ac:dyDescent="0.35">
      <c r="A18" s="172" t="s">
        <v>191</v>
      </c>
    </row>
    <row r="19" spans="1:1" x14ac:dyDescent="0.35">
      <c r="A19" s="172" t="s">
        <v>192</v>
      </c>
    </row>
    <row r="21" spans="1:1" x14ac:dyDescent="0.35">
      <c r="A2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B21"/>
  <sheetViews>
    <sheetView workbookViewId="0"/>
  </sheetViews>
  <sheetFormatPr defaultColWidth="10.90625" defaultRowHeight="14.5" x14ac:dyDescent="0.35"/>
  <cols>
    <col min="1" max="1" width="6.7265625" style="172" customWidth="1"/>
    <col min="2" max="2" width="27.7265625" customWidth="1"/>
  </cols>
  <sheetData>
    <row r="1" spans="1:2" x14ac:dyDescent="0.35">
      <c r="A1" s="172" t="s">
        <v>193</v>
      </c>
    </row>
    <row r="3" spans="1:2" x14ac:dyDescent="0.35">
      <c r="A3" s="173" t="s">
        <v>1</v>
      </c>
      <c r="B3" s="6" t="s">
        <v>190</v>
      </c>
    </row>
    <row r="4" spans="1:2" x14ac:dyDescent="0.35">
      <c r="A4" s="174">
        <v>2013</v>
      </c>
      <c r="B4" s="84">
        <v>15.9</v>
      </c>
    </row>
    <row r="5" spans="1:2" x14ac:dyDescent="0.35">
      <c r="A5" s="174">
        <v>2014</v>
      </c>
      <c r="B5" s="84">
        <v>18.5</v>
      </c>
    </row>
    <row r="6" spans="1:2" x14ac:dyDescent="0.35">
      <c r="A6" s="174">
        <v>2015</v>
      </c>
      <c r="B6" s="84">
        <v>21</v>
      </c>
    </row>
    <row r="7" spans="1:2" x14ac:dyDescent="0.35">
      <c r="A7" s="174">
        <v>2016</v>
      </c>
      <c r="B7" s="84">
        <v>23.5</v>
      </c>
    </row>
    <row r="8" spans="1:2" x14ac:dyDescent="0.35">
      <c r="A8" s="174">
        <v>2017</v>
      </c>
      <c r="B8" s="84">
        <v>27.4</v>
      </c>
    </row>
    <row r="9" spans="1:2" x14ac:dyDescent="0.35">
      <c r="A9" s="174">
        <v>2018</v>
      </c>
      <c r="B9" s="84">
        <v>33.6</v>
      </c>
    </row>
    <row r="10" spans="1:2" x14ac:dyDescent="0.35">
      <c r="A10" s="174">
        <v>2019</v>
      </c>
      <c r="B10" s="84">
        <v>39.1</v>
      </c>
    </row>
    <row r="11" spans="1:2" x14ac:dyDescent="0.35">
      <c r="A11" s="174">
        <v>2020</v>
      </c>
      <c r="B11" s="84">
        <v>40.1</v>
      </c>
    </row>
    <row r="12" spans="1:2" x14ac:dyDescent="0.35">
      <c r="A12" s="174">
        <v>2021</v>
      </c>
      <c r="B12" s="84">
        <v>56.7</v>
      </c>
    </row>
    <row r="13" spans="1:2" x14ac:dyDescent="0.35">
      <c r="A13" s="174">
        <v>2022</v>
      </c>
      <c r="B13" s="84">
        <v>77.3</v>
      </c>
    </row>
    <row r="14" spans="1:2" x14ac:dyDescent="0.35">
      <c r="A14" s="175">
        <v>2023</v>
      </c>
      <c r="B14" s="85">
        <v>84.6</v>
      </c>
    </row>
    <row r="16" spans="1:2" x14ac:dyDescent="0.35">
      <c r="A16" s="172" t="s">
        <v>63</v>
      </c>
    </row>
    <row r="18" spans="1:1" x14ac:dyDescent="0.35">
      <c r="A18" s="172" t="s">
        <v>191</v>
      </c>
    </row>
    <row r="19" spans="1:1" x14ac:dyDescent="0.35">
      <c r="A19" s="172" t="s">
        <v>192</v>
      </c>
    </row>
    <row r="21" spans="1:1" x14ac:dyDescent="0.35">
      <c r="A2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K21"/>
  <sheetViews>
    <sheetView workbookViewId="0"/>
  </sheetViews>
  <sheetFormatPr defaultColWidth="10.90625" defaultRowHeight="14.5" x14ac:dyDescent="0.35"/>
  <cols>
    <col min="1" max="1" width="6.7265625" style="172" customWidth="1"/>
    <col min="2" max="2" width="26.7265625" customWidth="1"/>
    <col min="3" max="3" width="7.7265625" customWidth="1"/>
    <col min="4" max="9" width="9.7265625" customWidth="1"/>
    <col min="10" max="10" width="7.7265625" customWidth="1"/>
    <col min="11" max="11" width="16.7265625" customWidth="1"/>
  </cols>
  <sheetData>
    <row r="1" spans="1:11" x14ac:dyDescent="0.35">
      <c r="A1" s="172" t="s">
        <v>194</v>
      </c>
    </row>
    <row r="3" spans="1:11" x14ac:dyDescent="0.35">
      <c r="A3" s="173" t="s">
        <v>1</v>
      </c>
      <c r="B3" s="4" t="s">
        <v>195</v>
      </c>
      <c r="C3" s="4" t="s">
        <v>196</v>
      </c>
      <c r="D3" s="4" t="s">
        <v>197</v>
      </c>
      <c r="E3" s="4" t="s">
        <v>198</v>
      </c>
      <c r="F3" s="4" t="s">
        <v>199</v>
      </c>
      <c r="G3" s="4" t="s">
        <v>200</v>
      </c>
      <c r="H3" s="4" t="s">
        <v>201</v>
      </c>
      <c r="I3" s="4" t="s">
        <v>202</v>
      </c>
      <c r="J3" s="4" t="s">
        <v>203</v>
      </c>
      <c r="K3" s="6" t="s">
        <v>204</v>
      </c>
    </row>
    <row r="4" spans="1:11" x14ac:dyDescent="0.35">
      <c r="A4" s="174">
        <v>2013</v>
      </c>
      <c r="B4" s="86">
        <v>0.95</v>
      </c>
      <c r="C4" s="177">
        <v>1.7000000000000001E-2</v>
      </c>
      <c r="D4" s="177">
        <v>0.13800000000000001</v>
      </c>
      <c r="E4" s="177">
        <v>0.14599999999999999</v>
      </c>
      <c r="F4" s="177">
        <v>0.17899999999999999</v>
      </c>
      <c r="G4" s="177">
        <v>0.23</v>
      </c>
      <c r="H4" s="177">
        <v>0.13900000000000001</v>
      </c>
      <c r="I4" s="177">
        <v>0.115</v>
      </c>
      <c r="J4" s="177">
        <v>3.5000000000000003E-2</v>
      </c>
      <c r="K4" s="87">
        <v>0.70399999999999996</v>
      </c>
    </row>
    <row r="5" spans="1:11" x14ac:dyDescent="0.35">
      <c r="A5" s="174">
        <v>2014</v>
      </c>
      <c r="B5" s="86">
        <v>1.03</v>
      </c>
      <c r="C5" s="177">
        <v>1.7999999999999999E-2</v>
      </c>
      <c r="D5" s="177">
        <v>0.13800000000000001</v>
      </c>
      <c r="E5" s="177">
        <v>0.14799999999999999</v>
      </c>
      <c r="F5" s="177">
        <v>0.17100000000000001</v>
      </c>
      <c r="G5" s="177">
        <v>0.22900000000000001</v>
      </c>
      <c r="H5" s="177">
        <v>0.14299999999999999</v>
      </c>
      <c r="I5" s="177">
        <v>0.114</v>
      </c>
      <c r="J5" s="177">
        <v>3.7999999999999999E-2</v>
      </c>
      <c r="K5" s="87">
        <v>0.70399999999999996</v>
      </c>
    </row>
    <row r="6" spans="1:11" x14ac:dyDescent="0.35">
      <c r="A6" s="174">
        <v>2015</v>
      </c>
      <c r="B6" s="86">
        <v>1.0900000000000001</v>
      </c>
      <c r="C6" s="177">
        <v>1.9E-2</v>
      </c>
      <c r="D6" s="177">
        <v>0.13800000000000001</v>
      </c>
      <c r="E6" s="177">
        <v>0.151</v>
      </c>
      <c r="F6" s="177">
        <v>0.16600000000000001</v>
      </c>
      <c r="G6" s="177">
        <v>0.224</v>
      </c>
      <c r="H6" s="177">
        <v>0.14799999999999999</v>
      </c>
      <c r="I6" s="177">
        <v>0.112</v>
      </c>
      <c r="J6" s="177">
        <v>0.04</v>
      </c>
      <c r="K6" s="87">
        <v>0.70099999999999996</v>
      </c>
    </row>
    <row r="7" spans="1:11" x14ac:dyDescent="0.35">
      <c r="A7" s="174">
        <v>2016</v>
      </c>
      <c r="B7" s="86">
        <v>1.1499999999999999</v>
      </c>
      <c r="C7" s="177">
        <v>0.02</v>
      </c>
      <c r="D7" s="177">
        <v>0.13700000000000001</v>
      </c>
      <c r="E7" s="177">
        <v>0.152</v>
      </c>
      <c r="F7" s="177">
        <v>0.16200000000000001</v>
      </c>
      <c r="G7" s="177">
        <v>0.216</v>
      </c>
      <c r="H7" s="177">
        <v>0.154</v>
      </c>
      <c r="I7" s="177">
        <v>0.113</v>
      </c>
      <c r="J7" s="177">
        <v>4.2999999999999997E-2</v>
      </c>
      <c r="K7" s="87">
        <v>0.69899999999999995</v>
      </c>
    </row>
    <row r="8" spans="1:11" x14ac:dyDescent="0.35">
      <c r="A8" s="174">
        <v>2017</v>
      </c>
      <c r="B8" s="86">
        <v>1.21</v>
      </c>
      <c r="C8" s="177">
        <v>2.3E-2</v>
      </c>
      <c r="D8" s="177">
        <v>0.13700000000000001</v>
      </c>
      <c r="E8" s="177">
        <v>0.152</v>
      </c>
      <c r="F8" s="177">
        <v>0.159</v>
      </c>
      <c r="G8" s="177">
        <v>0.20699999999999999</v>
      </c>
      <c r="H8" s="177">
        <v>0.161</v>
      </c>
      <c r="I8" s="177">
        <v>0.113</v>
      </c>
      <c r="J8" s="177">
        <v>4.7E-2</v>
      </c>
      <c r="K8" s="87">
        <v>0.69599999999999995</v>
      </c>
    </row>
    <row r="9" spans="1:11" x14ac:dyDescent="0.35">
      <c r="A9" s="174">
        <v>2018</v>
      </c>
      <c r="B9" s="86">
        <v>1.28</v>
      </c>
      <c r="C9" s="177">
        <v>2.5999999999999999E-2</v>
      </c>
      <c r="D9" s="177">
        <v>0.13900000000000001</v>
      </c>
      <c r="E9" s="177">
        <v>0.153</v>
      </c>
      <c r="F9" s="177">
        <v>0.158</v>
      </c>
      <c r="G9" s="177">
        <v>0.19700000000000001</v>
      </c>
      <c r="H9" s="177">
        <v>0.16700000000000001</v>
      </c>
      <c r="I9" s="177">
        <v>0.111</v>
      </c>
      <c r="J9" s="177">
        <v>4.9000000000000002E-2</v>
      </c>
      <c r="K9" s="87">
        <v>0.69299999999999995</v>
      </c>
    </row>
    <row r="10" spans="1:11" x14ac:dyDescent="0.35">
      <c r="A10" s="174">
        <v>2019</v>
      </c>
      <c r="B10" s="86">
        <v>1.35</v>
      </c>
      <c r="C10" s="177">
        <v>2.9000000000000001E-2</v>
      </c>
      <c r="D10" s="177">
        <v>0.14599999999999999</v>
      </c>
      <c r="E10" s="177">
        <v>0.154</v>
      </c>
      <c r="F10" s="177">
        <v>0.157</v>
      </c>
      <c r="G10" s="177">
        <v>0.186</v>
      </c>
      <c r="H10" s="177">
        <v>0.17</v>
      </c>
      <c r="I10" s="177">
        <v>0.107</v>
      </c>
      <c r="J10" s="177">
        <v>4.9000000000000002E-2</v>
      </c>
      <c r="K10" s="87">
        <v>0.69</v>
      </c>
    </row>
    <row r="11" spans="1:11" x14ac:dyDescent="0.35">
      <c r="A11" s="174">
        <v>2020</v>
      </c>
      <c r="B11" s="86">
        <v>1.38</v>
      </c>
      <c r="C11" s="177">
        <v>2.9000000000000001E-2</v>
      </c>
      <c r="D11" s="177">
        <v>0.157</v>
      </c>
      <c r="E11" s="177">
        <v>0.16</v>
      </c>
      <c r="F11" s="177">
        <v>0.16300000000000001</v>
      </c>
      <c r="G11" s="177">
        <v>0.17899999999999999</v>
      </c>
      <c r="H11" s="177">
        <v>0.16800000000000001</v>
      </c>
      <c r="I11" s="177">
        <v>9.7000000000000003E-2</v>
      </c>
      <c r="J11" s="177">
        <v>4.5999999999999999E-2</v>
      </c>
      <c r="K11" s="87">
        <v>0.69</v>
      </c>
    </row>
    <row r="12" spans="1:11" x14ac:dyDescent="0.35">
      <c r="A12" s="174">
        <v>2021</v>
      </c>
      <c r="B12" s="86">
        <v>1.52</v>
      </c>
      <c r="C12" s="177">
        <v>3.6999999999999998E-2</v>
      </c>
      <c r="D12" s="177">
        <v>0.17199999999999999</v>
      </c>
      <c r="E12" s="177">
        <v>0.161</v>
      </c>
      <c r="F12" s="177">
        <v>0.16300000000000001</v>
      </c>
      <c r="G12" s="177">
        <v>0.16600000000000001</v>
      </c>
      <c r="H12" s="177">
        <v>0.16400000000000001</v>
      </c>
      <c r="I12" s="177">
        <v>9.2999999999999999E-2</v>
      </c>
      <c r="J12" s="177">
        <v>4.2999999999999997E-2</v>
      </c>
      <c r="K12" s="87">
        <v>0.69299999999999995</v>
      </c>
    </row>
    <row r="13" spans="1:11" x14ac:dyDescent="0.35">
      <c r="A13" s="174">
        <v>2022</v>
      </c>
      <c r="B13" s="86">
        <v>1.62</v>
      </c>
      <c r="C13" s="177">
        <v>4.8000000000000001E-2</v>
      </c>
      <c r="D13" s="177">
        <v>0.189</v>
      </c>
      <c r="E13" s="177">
        <v>0.161</v>
      </c>
      <c r="F13" s="177">
        <v>0.16300000000000001</v>
      </c>
      <c r="G13" s="177">
        <v>0.153</v>
      </c>
      <c r="H13" s="177">
        <v>0.156</v>
      </c>
      <c r="I13" s="177">
        <v>0.09</v>
      </c>
      <c r="J13" s="177">
        <v>4.1000000000000002E-2</v>
      </c>
      <c r="K13" s="87">
        <v>0.69299999999999995</v>
      </c>
    </row>
    <row r="14" spans="1:11" x14ac:dyDescent="0.35">
      <c r="A14" s="175">
        <v>2023</v>
      </c>
      <c r="B14" s="88">
        <v>1.74</v>
      </c>
      <c r="C14" s="178">
        <v>4.9000000000000002E-2</v>
      </c>
      <c r="D14" s="178">
        <v>0.19700000000000001</v>
      </c>
      <c r="E14" s="178">
        <v>0.16200000000000001</v>
      </c>
      <c r="F14" s="178">
        <v>0.16300000000000001</v>
      </c>
      <c r="G14" s="178">
        <v>0.14399999999999999</v>
      </c>
      <c r="H14" s="178">
        <v>0.153</v>
      </c>
      <c r="I14" s="178">
        <v>9.1999999999999998E-2</v>
      </c>
      <c r="J14" s="178">
        <v>0.04</v>
      </c>
      <c r="K14" s="89">
        <v>0.69299999999999995</v>
      </c>
    </row>
    <row r="16" spans="1:11" x14ac:dyDescent="0.35">
      <c r="A16" s="172" t="s">
        <v>63</v>
      </c>
    </row>
    <row r="18" spans="1:1" x14ac:dyDescent="0.35">
      <c r="A18" s="172" t="s">
        <v>191</v>
      </c>
    </row>
    <row r="19" spans="1:1" x14ac:dyDescent="0.35">
      <c r="A19" s="172" t="s">
        <v>192</v>
      </c>
    </row>
    <row r="21" spans="1:1" x14ac:dyDescent="0.35">
      <c r="A2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98"/>
  <sheetViews>
    <sheetView workbookViewId="0"/>
  </sheetViews>
  <sheetFormatPr defaultColWidth="10.90625" defaultRowHeight="14.5" x14ac:dyDescent="0.35"/>
  <cols>
    <col min="1" max="1" width="6.7265625" style="172" customWidth="1"/>
    <col min="2" max="2" width="15.7265625" customWidth="1"/>
    <col min="3" max="3" width="25.7265625" style="183" customWidth="1"/>
  </cols>
  <sheetData>
    <row r="1" spans="1:3" x14ac:dyDescent="0.35">
      <c r="A1" s="172" t="s">
        <v>205</v>
      </c>
    </row>
    <row r="3" spans="1:3" x14ac:dyDescent="0.35">
      <c r="A3" s="173" t="s">
        <v>1</v>
      </c>
      <c r="B3" s="4" t="s">
        <v>65</v>
      </c>
      <c r="C3" s="195" t="s">
        <v>206</v>
      </c>
    </row>
    <row r="4" spans="1:3" x14ac:dyDescent="0.35">
      <c r="A4" s="174">
        <v>2013</v>
      </c>
      <c r="B4" t="s">
        <v>196</v>
      </c>
      <c r="C4" s="187">
        <v>15.9</v>
      </c>
    </row>
    <row r="5" spans="1:3" x14ac:dyDescent="0.35">
      <c r="A5" s="174">
        <v>2013</v>
      </c>
      <c r="B5" t="s">
        <v>197</v>
      </c>
      <c r="C5" s="187">
        <v>131.30000000000001</v>
      </c>
    </row>
    <row r="6" spans="1:3" x14ac:dyDescent="0.35">
      <c r="A6" s="174">
        <v>2013</v>
      </c>
      <c r="B6" t="s">
        <v>198</v>
      </c>
      <c r="C6" s="187">
        <v>139.30000000000001</v>
      </c>
    </row>
    <row r="7" spans="1:3" x14ac:dyDescent="0.35">
      <c r="A7" s="174">
        <v>2013</v>
      </c>
      <c r="B7" t="s">
        <v>199</v>
      </c>
      <c r="C7" s="187">
        <v>170.7</v>
      </c>
    </row>
    <row r="8" spans="1:3" x14ac:dyDescent="0.35">
      <c r="A8" s="174">
        <v>2013</v>
      </c>
      <c r="B8" t="s">
        <v>200</v>
      </c>
      <c r="C8" s="187">
        <v>219.5</v>
      </c>
    </row>
    <row r="9" spans="1:3" x14ac:dyDescent="0.35">
      <c r="A9" s="174">
        <v>2013</v>
      </c>
      <c r="B9" t="s">
        <v>201</v>
      </c>
      <c r="C9" s="187">
        <v>132.6</v>
      </c>
    </row>
    <row r="10" spans="1:3" x14ac:dyDescent="0.35">
      <c r="A10" s="174">
        <v>2013</v>
      </c>
      <c r="B10" t="s">
        <v>202</v>
      </c>
      <c r="C10" s="187">
        <v>110.1</v>
      </c>
    </row>
    <row r="11" spans="1:3" x14ac:dyDescent="0.35">
      <c r="A11" s="174">
        <v>2013</v>
      </c>
      <c r="B11" t="s">
        <v>203</v>
      </c>
      <c r="C11" s="187">
        <v>33.6</v>
      </c>
    </row>
    <row r="12" spans="1:3" x14ac:dyDescent="0.35">
      <c r="A12" s="174">
        <v>2014</v>
      </c>
      <c r="B12" t="s">
        <v>196</v>
      </c>
      <c r="C12" s="187">
        <v>18.5</v>
      </c>
    </row>
    <row r="13" spans="1:3" x14ac:dyDescent="0.35">
      <c r="A13" s="174">
        <v>2014</v>
      </c>
      <c r="B13" t="s">
        <v>197</v>
      </c>
      <c r="C13" s="187">
        <v>141.5</v>
      </c>
    </row>
    <row r="14" spans="1:3" x14ac:dyDescent="0.35">
      <c r="A14" s="174">
        <v>2014</v>
      </c>
      <c r="B14" t="s">
        <v>198</v>
      </c>
      <c r="C14" s="187">
        <v>151.80000000000001</v>
      </c>
    </row>
    <row r="15" spans="1:3" x14ac:dyDescent="0.35">
      <c r="A15" s="174">
        <v>2014</v>
      </c>
      <c r="B15" t="s">
        <v>199</v>
      </c>
      <c r="C15" s="187">
        <v>175.8</v>
      </c>
    </row>
    <row r="16" spans="1:3" x14ac:dyDescent="0.35">
      <c r="A16" s="174">
        <v>2014</v>
      </c>
      <c r="B16" t="s">
        <v>200</v>
      </c>
      <c r="C16" s="187">
        <v>234.7</v>
      </c>
    </row>
    <row r="17" spans="1:3" x14ac:dyDescent="0.35">
      <c r="A17" s="174">
        <v>2014</v>
      </c>
      <c r="B17" t="s">
        <v>201</v>
      </c>
      <c r="C17" s="187">
        <v>146.4</v>
      </c>
    </row>
    <row r="18" spans="1:3" x14ac:dyDescent="0.35">
      <c r="A18" s="174">
        <v>2014</v>
      </c>
      <c r="B18" t="s">
        <v>202</v>
      </c>
      <c r="C18" s="187">
        <v>117.1</v>
      </c>
    </row>
    <row r="19" spans="1:3" x14ac:dyDescent="0.35">
      <c r="A19" s="174">
        <v>2014</v>
      </c>
      <c r="B19" t="s">
        <v>203</v>
      </c>
      <c r="C19" s="187">
        <v>38.700000000000003</v>
      </c>
    </row>
    <row r="20" spans="1:3" x14ac:dyDescent="0.35">
      <c r="A20" s="174">
        <v>2015</v>
      </c>
      <c r="B20" t="s">
        <v>196</v>
      </c>
      <c r="C20" s="187">
        <v>21</v>
      </c>
    </row>
    <row r="21" spans="1:3" x14ac:dyDescent="0.35">
      <c r="A21" s="174">
        <v>2015</v>
      </c>
      <c r="B21" t="s">
        <v>197</v>
      </c>
      <c r="C21" s="187">
        <v>150.9</v>
      </c>
    </row>
    <row r="22" spans="1:3" x14ac:dyDescent="0.35">
      <c r="A22" s="174">
        <v>2015</v>
      </c>
      <c r="B22" t="s">
        <v>198</v>
      </c>
      <c r="C22" s="187">
        <v>164.8</v>
      </c>
    </row>
    <row r="23" spans="1:3" x14ac:dyDescent="0.35">
      <c r="A23" s="174">
        <v>2015</v>
      </c>
      <c r="B23" t="s">
        <v>199</v>
      </c>
      <c r="C23" s="187">
        <v>181.4</v>
      </c>
    </row>
    <row r="24" spans="1:3" x14ac:dyDescent="0.35">
      <c r="A24" s="174">
        <v>2015</v>
      </c>
      <c r="B24" t="s">
        <v>200</v>
      </c>
      <c r="C24" s="187">
        <v>244.8</v>
      </c>
    </row>
    <row r="25" spans="1:3" x14ac:dyDescent="0.35">
      <c r="A25" s="174">
        <v>2015</v>
      </c>
      <c r="B25" t="s">
        <v>201</v>
      </c>
      <c r="C25" s="187">
        <v>161.1</v>
      </c>
    </row>
    <row r="26" spans="1:3" x14ac:dyDescent="0.35">
      <c r="A26" s="174">
        <v>2015</v>
      </c>
      <c r="B26" t="s">
        <v>202</v>
      </c>
      <c r="C26" s="187">
        <v>122.6</v>
      </c>
    </row>
    <row r="27" spans="1:3" x14ac:dyDescent="0.35">
      <c r="A27" s="174">
        <v>2015</v>
      </c>
      <c r="B27" t="s">
        <v>203</v>
      </c>
      <c r="C27" s="187">
        <v>43.9</v>
      </c>
    </row>
    <row r="28" spans="1:3" x14ac:dyDescent="0.35">
      <c r="A28" s="174">
        <v>2016</v>
      </c>
      <c r="B28" t="s">
        <v>196</v>
      </c>
      <c r="C28" s="187">
        <v>23.5</v>
      </c>
    </row>
    <row r="29" spans="1:3" x14ac:dyDescent="0.35">
      <c r="A29" s="174">
        <v>2016</v>
      </c>
      <c r="B29" t="s">
        <v>197</v>
      </c>
      <c r="C29" s="187">
        <v>158.5</v>
      </c>
    </row>
    <row r="30" spans="1:3" x14ac:dyDescent="0.35">
      <c r="A30" s="174">
        <v>2016</v>
      </c>
      <c r="B30" t="s">
        <v>198</v>
      </c>
      <c r="C30" s="187">
        <v>175.9</v>
      </c>
    </row>
    <row r="31" spans="1:3" x14ac:dyDescent="0.35">
      <c r="A31" s="174">
        <v>2016</v>
      </c>
      <c r="B31" t="s">
        <v>199</v>
      </c>
      <c r="C31" s="187">
        <v>186.8</v>
      </c>
    </row>
    <row r="32" spans="1:3" x14ac:dyDescent="0.35">
      <c r="A32" s="174">
        <v>2016</v>
      </c>
      <c r="B32" t="s">
        <v>200</v>
      </c>
      <c r="C32" s="187">
        <v>249.6</v>
      </c>
    </row>
    <row r="33" spans="1:3" x14ac:dyDescent="0.35">
      <c r="A33" s="174">
        <v>2016</v>
      </c>
      <c r="B33" t="s">
        <v>201</v>
      </c>
      <c r="C33" s="187">
        <v>178.2</v>
      </c>
    </row>
    <row r="34" spans="1:3" x14ac:dyDescent="0.35">
      <c r="A34" s="174">
        <v>2016</v>
      </c>
      <c r="B34" t="s">
        <v>202</v>
      </c>
      <c r="C34" s="187">
        <v>130.30000000000001</v>
      </c>
    </row>
    <row r="35" spans="1:3" x14ac:dyDescent="0.35">
      <c r="A35" s="174">
        <v>2016</v>
      </c>
      <c r="B35" t="s">
        <v>203</v>
      </c>
      <c r="C35" s="187">
        <v>50.1</v>
      </c>
    </row>
    <row r="36" spans="1:3" x14ac:dyDescent="0.35">
      <c r="A36" s="174">
        <v>2017</v>
      </c>
      <c r="B36" t="s">
        <v>196</v>
      </c>
      <c r="C36" s="187">
        <v>27.4</v>
      </c>
    </row>
    <row r="37" spans="1:3" x14ac:dyDescent="0.35">
      <c r="A37" s="174">
        <v>2017</v>
      </c>
      <c r="B37" t="s">
        <v>197</v>
      </c>
      <c r="C37" s="187">
        <v>166</v>
      </c>
    </row>
    <row r="38" spans="1:3" x14ac:dyDescent="0.35">
      <c r="A38" s="174">
        <v>2017</v>
      </c>
      <c r="B38" t="s">
        <v>198</v>
      </c>
      <c r="C38" s="187">
        <v>184.8</v>
      </c>
    </row>
    <row r="39" spans="1:3" x14ac:dyDescent="0.35">
      <c r="A39" s="174">
        <v>2017</v>
      </c>
      <c r="B39" t="s">
        <v>199</v>
      </c>
      <c r="C39" s="187">
        <v>193.5</v>
      </c>
    </row>
    <row r="40" spans="1:3" x14ac:dyDescent="0.35">
      <c r="A40" s="174">
        <v>2017</v>
      </c>
      <c r="B40" t="s">
        <v>200</v>
      </c>
      <c r="C40" s="187">
        <v>251.4</v>
      </c>
    </row>
    <row r="41" spans="1:3" x14ac:dyDescent="0.35">
      <c r="A41" s="174">
        <v>2017</v>
      </c>
      <c r="B41" t="s">
        <v>201</v>
      </c>
      <c r="C41" s="187">
        <v>195.8</v>
      </c>
    </row>
    <row r="42" spans="1:3" x14ac:dyDescent="0.35">
      <c r="A42" s="174">
        <v>2017</v>
      </c>
      <c r="B42" t="s">
        <v>202</v>
      </c>
      <c r="C42" s="187">
        <v>136.80000000000001</v>
      </c>
    </row>
    <row r="43" spans="1:3" x14ac:dyDescent="0.35">
      <c r="A43" s="174">
        <v>2017</v>
      </c>
      <c r="B43" t="s">
        <v>203</v>
      </c>
      <c r="C43" s="187">
        <v>57</v>
      </c>
    </row>
    <row r="44" spans="1:3" x14ac:dyDescent="0.35">
      <c r="A44" s="174">
        <v>2018</v>
      </c>
      <c r="B44" t="s">
        <v>196</v>
      </c>
      <c r="C44" s="187">
        <v>33.6</v>
      </c>
    </row>
    <row r="45" spans="1:3" x14ac:dyDescent="0.35">
      <c r="A45" s="174">
        <v>2018</v>
      </c>
      <c r="B45" t="s">
        <v>197</v>
      </c>
      <c r="C45" s="187">
        <v>177.8</v>
      </c>
    </row>
    <row r="46" spans="1:3" x14ac:dyDescent="0.35">
      <c r="A46" s="174">
        <v>2018</v>
      </c>
      <c r="B46" t="s">
        <v>198</v>
      </c>
      <c r="C46" s="187">
        <v>196</v>
      </c>
    </row>
    <row r="47" spans="1:3" x14ac:dyDescent="0.35">
      <c r="A47" s="174">
        <v>2018</v>
      </c>
      <c r="B47" t="s">
        <v>199</v>
      </c>
      <c r="C47" s="187">
        <v>202.1</v>
      </c>
    </row>
    <row r="48" spans="1:3" x14ac:dyDescent="0.35">
      <c r="A48" s="174">
        <v>2018</v>
      </c>
      <c r="B48" t="s">
        <v>200</v>
      </c>
      <c r="C48" s="187">
        <v>252.4</v>
      </c>
    </row>
    <row r="49" spans="1:3" x14ac:dyDescent="0.35">
      <c r="A49" s="174">
        <v>2018</v>
      </c>
      <c r="B49" t="s">
        <v>201</v>
      </c>
      <c r="C49" s="187">
        <v>214.4</v>
      </c>
    </row>
    <row r="50" spans="1:3" x14ac:dyDescent="0.35">
      <c r="A50" s="174">
        <v>2018</v>
      </c>
      <c r="B50" t="s">
        <v>202</v>
      </c>
      <c r="C50" s="187">
        <v>142.9</v>
      </c>
    </row>
    <row r="51" spans="1:3" x14ac:dyDescent="0.35">
      <c r="A51" s="174">
        <v>2018</v>
      </c>
      <c r="B51" t="s">
        <v>203</v>
      </c>
      <c r="C51" s="187">
        <v>62.4</v>
      </c>
    </row>
    <row r="52" spans="1:3" x14ac:dyDescent="0.35">
      <c r="A52" s="174">
        <v>2019</v>
      </c>
      <c r="B52" t="s">
        <v>196</v>
      </c>
      <c r="C52" s="187">
        <v>39.1</v>
      </c>
    </row>
    <row r="53" spans="1:3" x14ac:dyDescent="0.35">
      <c r="A53" s="174">
        <v>2019</v>
      </c>
      <c r="B53" t="s">
        <v>197</v>
      </c>
      <c r="C53" s="187">
        <v>197.9</v>
      </c>
    </row>
    <row r="54" spans="1:3" x14ac:dyDescent="0.35">
      <c r="A54" s="174">
        <v>2019</v>
      </c>
      <c r="B54" t="s">
        <v>198</v>
      </c>
      <c r="C54" s="187">
        <v>208.5</v>
      </c>
    </row>
    <row r="55" spans="1:3" x14ac:dyDescent="0.35">
      <c r="A55" s="174">
        <v>2019</v>
      </c>
      <c r="B55" t="s">
        <v>199</v>
      </c>
      <c r="C55" s="187">
        <v>213</v>
      </c>
    </row>
    <row r="56" spans="1:3" x14ac:dyDescent="0.35">
      <c r="A56" s="174">
        <v>2019</v>
      </c>
      <c r="B56" t="s">
        <v>200</v>
      </c>
      <c r="C56" s="187">
        <v>252.2</v>
      </c>
    </row>
    <row r="57" spans="1:3" x14ac:dyDescent="0.35">
      <c r="A57" s="174">
        <v>2019</v>
      </c>
      <c r="B57" t="s">
        <v>201</v>
      </c>
      <c r="C57" s="187">
        <v>230.6</v>
      </c>
    </row>
    <row r="58" spans="1:3" x14ac:dyDescent="0.35">
      <c r="A58" s="174">
        <v>2019</v>
      </c>
      <c r="B58" t="s">
        <v>202</v>
      </c>
      <c r="C58" s="187">
        <v>145.4</v>
      </c>
    </row>
    <row r="59" spans="1:3" x14ac:dyDescent="0.35">
      <c r="A59" s="174">
        <v>2019</v>
      </c>
      <c r="B59" t="s">
        <v>203</v>
      </c>
      <c r="C59" s="187">
        <v>66.5</v>
      </c>
    </row>
    <row r="60" spans="1:3" x14ac:dyDescent="0.35">
      <c r="A60" s="174">
        <v>2020</v>
      </c>
      <c r="B60" t="s">
        <v>196</v>
      </c>
      <c r="C60" s="187">
        <v>40.1</v>
      </c>
    </row>
    <row r="61" spans="1:3" x14ac:dyDescent="0.35">
      <c r="A61" s="174">
        <v>2020</v>
      </c>
      <c r="B61" t="s">
        <v>197</v>
      </c>
      <c r="C61" s="187">
        <v>217</v>
      </c>
    </row>
    <row r="62" spans="1:3" x14ac:dyDescent="0.35">
      <c r="A62" s="174">
        <v>2020</v>
      </c>
      <c r="B62" t="s">
        <v>198</v>
      </c>
      <c r="C62" s="187">
        <v>220.1</v>
      </c>
    </row>
    <row r="63" spans="1:3" x14ac:dyDescent="0.35">
      <c r="A63" s="174">
        <v>2020</v>
      </c>
      <c r="B63" t="s">
        <v>199</v>
      </c>
      <c r="C63" s="187">
        <v>225.4</v>
      </c>
    </row>
    <row r="64" spans="1:3" x14ac:dyDescent="0.35">
      <c r="A64" s="174">
        <v>2020</v>
      </c>
      <c r="B64" t="s">
        <v>200</v>
      </c>
      <c r="C64" s="187">
        <v>246.7</v>
      </c>
    </row>
    <row r="65" spans="1:3" x14ac:dyDescent="0.35">
      <c r="A65" s="174">
        <v>2020</v>
      </c>
      <c r="B65" t="s">
        <v>201</v>
      </c>
      <c r="C65" s="187">
        <v>232.2</v>
      </c>
    </row>
    <row r="66" spans="1:3" x14ac:dyDescent="0.35">
      <c r="A66" s="174">
        <v>2020</v>
      </c>
      <c r="B66" t="s">
        <v>202</v>
      </c>
      <c r="C66" s="187">
        <v>134.19999999999999</v>
      </c>
    </row>
    <row r="67" spans="1:3" x14ac:dyDescent="0.35">
      <c r="A67" s="174">
        <v>2020</v>
      </c>
      <c r="B67" t="s">
        <v>203</v>
      </c>
      <c r="C67" s="187">
        <v>63.7</v>
      </c>
    </row>
    <row r="68" spans="1:3" x14ac:dyDescent="0.35">
      <c r="A68" s="174">
        <v>2021</v>
      </c>
      <c r="B68" t="s">
        <v>196</v>
      </c>
      <c r="C68" s="187">
        <v>56.7</v>
      </c>
    </row>
    <row r="69" spans="1:3" x14ac:dyDescent="0.35">
      <c r="A69" s="174">
        <v>2021</v>
      </c>
      <c r="B69" t="s">
        <v>197</v>
      </c>
      <c r="C69" s="187">
        <v>261.7</v>
      </c>
    </row>
    <row r="70" spans="1:3" x14ac:dyDescent="0.35">
      <c r="A70" s="174">
        <v>2021</v>
      </c>
      <c r="B70" t="s">
        <v>198</v>
      </c>
      <c r="C70" s="187">
        <v>244</v>
      </c>
    </row>
    <row r="71" spans="1:3" x14ac:dyDescent="0.35">
      <c r="A71" s="174">
        <v>2021</v>
      </c>
      <c r="B71" t="s">
        <v>199</v>
      </c>
      <c r="C71" s="187">
        <v>247.3</v>
      </c>
    </row>
    <row r="72" spans="1:3" x14ac:dyDescent="0.35">
      <c r="A72" s="174">
        <v>2021</v>
      </c>
      <c r="B72" t="s">
        <v>200</v>
      </c>
      <c r="C72" s="187">
        <v>252.3</v>
      </c>
    </row>
    <row r="73" spans="1:3" x14ac:dyDescent="0.35">
      <c r="A73" s="174">
        <v>2021</v>
      </c>
      <c r="B73" t="s">
        <v>201</v>
      </c>
      <c r="C73" s="187">
        <v>249.6</v>
      </c>
    </row>
    <row r="74" spans="1:3" x14ac:dyDescent="0.35">
      <c r="A74" s="174">
        <v>2021</v>
      </c>
      <c r="B74" t="s">
        <v>202</v>
      </c>
      <c r="C74" s="187">
        <v>141.69999999999999</v>
      </c>
    </row>
    <row r="75" spans="1:3" x14ac:dyDescent="0.35">
      <c r="A75" s="174">
        <v>2021</v>
      </c>
      <c r="B75" t="s">
        <v>203</v>
      </c>
      <c r="C75" s="187">
        <v>65.599999999999994</v>
      </c>
    </row>
    <row r="76" spans="1:3" x14ac:dyDescent="0.35">
      <c r="A76" s="174">
        <v>2022</v>
      </c>
      <c r="B76" t="s">
        <v>196</v>
      </c>
      <c r="C76" s="187">
        <v>77.3</v>
      </c>
    </row>
    <row r="77" spans="1:3" x14ac:dyDescent="0.35">
      <c r="A77" s="174">
        <v>2022</v>
      </c>
      <c r="B77" t="s">
        <v>197</v>
      </c>
      <c r="C77" s="187">
        <v>306.8</v>
      </c>
    </row>
    <row r="78" spans="1:3" x14ac:dyDescent="0.35">
      <c r="A78" s="174">
        <v>2022</v>
      </c>
      <c r="B78" t="s">
        <v>198</v>
      </c>
      <c r="C78" s="187">
        <v>260</v>
      </c>
    </row>
    <row r="79" spans="1:3" x14ac:dyDescent="0.35">
      <c r="A79" s="174">
        <v>2022</v>
      </c>
      <c r="B79" t="s">
        <v>199</v>
      </c>
      <c r="C79" s="187">
        <v>263.60000000000002</v>
      </c>
    </row>
    <row r="80" spans="1:3" x14ac:dyDescent="0.35">
      <c r="A80" s="174">
        <v>2022</v>
      </c>
      <c r="B80" t="s">
        <v>200</v>
      </c>
      <c r="C80" s="187">
        <v>247.8</v>
      </c>
    </row>
    <row r="81" spans="1:3" x14ac:dyDescent="0.35">
      <c r="A81" s="174">
        <v>2022</v>
      </c>
      <c r="B81" t="s">
        <v>201</v>
      </c>
      <c r="C81" s="187">
        <v>251.9</v>
      </c>
    </row>
    <row r="82" spans="1:3" x14ac:dyDescent="0.35">
      <c r="A82" s="174">
        <v>2022</v>
      </c>
      <c r="B82" t="s">
        <v>202</v>
      </c>
      <c r="C82" s="187">
        <v>146.4</v>
      </c>
    </row>
    <row r="83" spans="1:3" x14ac:dyDescent="0.35">
      <c r="A83" s="174">
        <v>2022</v>
      </c>
      <c r="B83" t="s">
        <v>203</v>
      </c>
      <c r="C83" s="187">
        <v>65.599999999999994</v>
      </c>
    </row>
    <row r="84" spans="1:3" x14ac:dyDescent="0.35">
      <c r="A84" s="174">
        <v>2023</v>
      </c>
      <c r="B84" t="s">
        <v>196</v>
      </c>
      <c r="C84" s="187">
        <v>84.6</v>
      </c>
    </row>
    <row r="85" spans="1:3" x14ac:dyDescent="0.35">
      <c r="A85" s="174">
        <v>2023</v>
      </c>
      <c r="B85" t="s">
        <v>197</v>
      </c>
      <c r="C85" s="187">
        <v>342.4</v>
      </c>
    </row>
    <row r="86" spans="1:3" x14ac:dyDescent="0.35">
      <c r="A86" s="174">
        <v>2023</v>
      </c>
      <c r="B86" t="s">
        <v>198</v>
      </c>
      <c r="C86" s="187">
        <v>281.8</v>
      </c>
    </row>
    <row r="87" spans="1:3" x14ac:dyDescent="0.35">
      <c r="A87" s="174">
        <v>2023</v>
      </c>
      <c r="B87" t="s">
        <v>199</v>
      </c>
      <c r="C87" s="187">
        <v>284.5</v>
      </c>
    </row>
    <row r="88" spans="1:3" x14ac:dyDescent="0.35">
      <c r="A88" s="174">
        <v>2023</v>
      </c>
      <c r="B88" t="s">
        <v>200</v>
      </c>
      <c r="C88" s="187">
        <v>251.5</v>
      </c>
    </row>
    <row r="89" spans="1:3" x14ac:dyDescent="0.35">
      <c r="A89" s="174">
        <v>2023</v>
      </c>
      <c r="B89" t="s">
        <v>201</v>
      </c>
      <c r="C89" s="187">
        <v>267</v>
      </c>
    </row>
    <row r="90" spans="1:3" x14ac:dyDescent="0.35">
      <c r="A90" s="174">
        <v>2023</v>
      </c>
      <c r="B90" t="s">
        <v>202</v>
      </c>
      <c r="C90" s="187">
        <v>159.5</v>
      </c>
    </row>
    <row r="91" spans="1:3" x14ac:dyDescent="0.35">
      <c r="A91" s="175">
        <v>2023</v>
      </c>
      <c r="B91" s="10" t="s">
        <v>203</v>
      </c>
      <c r="C91" s="188">
        <v>69.3</v>
      </c>
    </row>
    <row r="93" spans="1:3" x14ac:dyDescent="0.35">
      <c r="A93" s="172" t="s">
        <v>63</v>
      </c>
    </row>
    <row r="95" spans="1:3" x14ac:dyDescent="0.35">
      <c r="A95" s="172" t="s">
        <v>191</v>
      </c>
    </row>
    <row r="96" spans="1:3" x14ac:dyDescent="0.35">
      <c r="A96" s="172" t="s">
        <v>192</v>
      </c>
    </row>
    <row r="98" spans="1:1" x14ac:dyDescent="0.35">
      <c r="A98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B26"/>
  <sheetViews>
    <sheetView workbookViewId="0"/>
  </sheetViews>
  <sheetFormatPr defaultColWidth="10.90625" defaultRowHeight="14.5" x14ac:dyDescent="0.35"/>
  <cols>
    <col min="1" max="1" width="21.7265625" customWidth="1"/>
    <col min="2" max="2" width="9.7265625" customWidth="1"/>
  </cols>
  <sheetData>
    <row r="1" spans="1:2" x14ac:dyDescent="0.35">
      <c r="A1" t="s">
        <v>207</v>
      </c>
    </row>
    <row r="3" spans="1:2" x14ac:dyDescent="0.35">
      <c r="A3" s="5" t="s">
        <v>68</v>
      </c>
      <c r="B3" s="6" t="s">
        <v>50</v>
      </c>
    </row>
    <row r="4" spans="1:2" x14ac:dyDescent="0.35">
      <c r="A4" s="2" t="s">
        <v>69</v>
      </c>
      <c r="B4" s="90">
        <v>0.76</v>
      </c>
    </row>
    <row r="5" spans="1:2" x14ac:dyDescent="0.35">
      <c r="A5" s="2" t="s">
        <v>70</v>
      </c>
      <c r="B5" s="90">
        <v>0.70899999999999996</v>
      </c>
    </row>
    <row r="6" spans="1:2" x14ac:dyDescent="0.35">
      <c r="A6" s="2" t="s">
        <v>71</v>
      </c>
      <c r="B6" s="90">
        <v>0.57999999999999996</v>
      </c>
    </row>
    <row r="7" spans="1:2" x14ac:dyDescent="0.35">
      <c r="A7" s="2" t="s">
        <v>72</v>
      </c>
      <c r="B7" s="90">
        <v>0.69499999999999995</v>
      </c>
    </row>
    <row r="8" spans="1:2" x14ac:dyDescent="0.35">
      <c r="A8" s="2" t="s">
        <v>73</v>
      </c>
      <c r="B8" s="90">
        <v>0.72899999999999998</v>
      </c>
    </row>
    <row r="9" spans="1:2" x14ac:dyDescent="0.35">
      <c r="A9" s="2" t="s">
        <v>74</v>
      </c>
      <c r="B9" s="90">
        <v>0.59099999999999997</v>
      </c>
    </row>
    <row r="10" spans="1:2" x14ac:dyDescent="0.35">
      <c r="A10" s="2" t="s">
        <v>75</v>
      </c>
      <c r="B10" s="90">
        <v>0.75900000000000001</v>
      </c>
    </row>
    <row r="11" spans="1:2" x14ac:dyDescent="0.35">
      <c r="A11" s="2" t="s">
        <v>76</v>
      </c>
      <c r="B11" s="90">
        <v>0.60299999999999998</v>
      </c>
    </row>
    <row r="12" spans="1:2" x14ac:dyDescent="0.35">
      <c r="A12" s="2" t="s">
        <v>77</v>
      </c>
      <c r="B12" s="90">
        <v>0.48199999999999998</v>
      </c>
    </row>
    <row r="13" spans="1:2" x14ac:dyDescent="0.35">
      <c r="A13" s="2" t="s">
        <v>78</v>
      </c>
      <c r="B13" s="90">
        <v>0.72899999999999998</v>
      </c>
    </row>
    <row r="14" spans="1:2" x14ac:dyDescent="0.35">
      <c r="A14" s="2" t="s">
        <v>79</v>
      </c>
      <c r="B14" s="90">
        <v>0.754</v>
      </c>
    </row>
    <row r="15" spans="1:2" x14ac:dyDescent="0.35">
      <c r="A15" s="2" t="s">
        <v>80</v>
      </c>
      <c r="B15" s="90">
        <v>0.82199999999999995</v>
      </c>
    </row>
    <row r="16" spans="1:2" x14ac:dyDescent="0.35">
      <c r="A16" s="2" t="s">
        <v>81</v>
      </c>
      <c r="B16" s="90">
        <v>0.57399999999999995</v>
      </c>
    </row>
    <row r="17" spans="1:2" x14ac:dyDescent="0.35">
      <c r="A17" s="2" t="s">
        <v>82</v>
      </c>
      <c r="B17" s="90">
        <v>0.70699999999999996</v>
      </c>
    </row>
    <row r="18" spans="1:2" x14ac:dyDescent="0.35">
      <c r="A18" s="2" t="s">
        <v>83</v>
      </c>
      <c r="B18" s="90">
        <v>0.67100000000000004</v>
      </c>
    </row>
    <row r="19" spans="1:2" x14ac:dyDescent="0.35">
      <c r="A19" s="8" t="s">
        <v>84</v>
      </c>
      <c r="B19" s="91">
        <v>0.76500000000000001</v>
      </c>
    </row>
    <row r="21" spans="1:2" x14ac:dyDescent="0.35">
      <c r="A21" t="s">
        <v>63</v>
      </c>
    </row>
    <row r="23" spans="1:2" x14ac:dyDescent="0.35">
      <c r="A23" t="s">
        <v>191</v>
      </c>
    </row>
    <row r="24" spans="1:2" x14ac:dyDescent="0.35">
      <c r="A24" t="s">
        <v>192</v>
      </c>
    </row>
    <row r="26" spans="1:2" x14ac:dyDescent="0.35">
      <c r="A2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B26"/>
  <sheetViews>
    <sheetView workbookViewId="0"/>
  </sheetViews>
  <sheetFormatPr defaultColWidth="10.90625" defaultRowHeight="14.5" x14ac:dyDescent="0.35"/>
  <cols>
    <col min="1" max="1" width="21.7265625" customWidth="1"/>
    <col min="2" max="2" width="18.7265625" customWidth="1"/>
  </cols>
  <sheetData>
    <row r="1" spans="1:2" x14ac:dyDescent="0.35">
      <c r="A1" t="s">
        <v>208</v>
      </c>
    </row>
    <row r="3" spans="1:2" x14ac:dyDescent="0.35">
      <c r="A3" s="5" t="s">
        <v>68</v>
      </c>
      <c r="B3" s="6" t="s">
        <v>3</v>
      </c>
    </row>
    <row r="4" spans="1:2" x14ac:dyDescent="0.35">
      <c r="A4" s="2" t="s">
        <v>69</v>
      </c>
      <c r="B4" s="92">
        <v>4.1399999999999999E-2</v>
      </c>
    </row>
    <row r="5" spans="1:2" x14ac:dyDescent="0.35">
      <c r="A5" s="2" t="s">
        <v>70</v>
      </c>
      <c r="B5" s="92">
        <v>6.25E-2</v>
      </c>
    </row>
    <row r="6" spans="1:2" x14ac:dyDescent="0.35">
      <c r="A6" s="2" t="s">
        <v>71</v>
      </c>
      <c r="B6" s="92">
        <v>4.6399999999999997E-2</v>
      </c>
    </row>
    <row r="7" spans="1:2" x14ac:dyDescent="0.35">
      <c r="A7" s="2" t="s">
        <v>72</v>
      </c>
      <c r="B7" s="92">
        <v>3.8100000000000002E-2</v>
      </c>
    </row>
    <row r="8" spans="1:2" x14ac:dyDescent="0.35">
      <c r="A8" s="2" t="s">
        <v>73</v>
      </c>
      <c r="B8" s="92">
        <v>5.5399999999999998E-2</v>
      </c>
    </row>
    <row r="9" spans="1:2" x14ac:dyDescent="0.35">
      <c r="A9" s="2" t="s">
        <v>74</v>
      </c>
      <c r="B9" s="92">
        <v>3.9800000000000002E-2</v>
      </c>
    </row>
    <row r="10" spans="1:2" x14ac:dyDescent="0.35">
      <c r="A10" s="2" t="s">
        <v>75</v>
      </c>
      <c r="B10" s="92">
        <v>4.0800000000000003E-2</v>
      </c>
    </row>
    <row r="11" spans="1:2" x14ac:dyDescent="0.35">
      <c r="A11" s="2" t="s">
        <v>76</v>
      </c>
      <c r="B11" s="92">
        <v>3.5499999999999997E-2</v>
      </c>
    </row>
    <row r="12" spans="1:2" x14ac:dyDescent="0.35">
      <c r="A12" s="2" t="s">
        <v>77</v>
      </c>
      <c r="B12" s="92">
        <v>3.9100000000000003E-2</v>
      </c>
    </row>
    <row r="13" spans="1:2" x14ac:dyDescent="0.35">
      <c r="A13" s="2" t="s">
        <v>78</v>
      </c>
      <c r="B13" s="92">
        <v>3.8300000000000001E-2</v>
      </c>
    </row>
    <row r="14" spans="1:2" x14ac:dyDescent="0.35">
      <c r="A14" s="2" t="s">
        <v>79</v>
      </c>
      <c r="B14" s="92">
        <v>4.7899999999999998E-2</v>
      </c>
    </row>
    <row r="15" spans="1:2" x14ac:dyDescent="0.35">
      <c r="A15" s="2" t="s">
        <v>80</v>
      </c>
      <c r="B15" s="92">
        <v>4.2099999999999999E-2</v>
      </c>
    </row>
    <row r="16" spans="1:2" x14ac:dyDescent="0.35">
      <c r="A16" s="2" t="s">
        <v>81</v>
      </c>
      <c r="B16" s="92">
        <v>4.48E-2</v>
      </c>
    </row>
    <row r="17" spans="1:2" x14ac:dyDescent="0.35">
      <c r="A17" s="2" t="s">
        <v>82</v>
      </c>
      <c r="B17" s="92">
        <v>3.9E-2</v>
      </c>
    </row>
    <row r="18" spans="1:2" x14ac:dyDescent="0.35">
      <c r="A18" s="2" t="s">
        <v>83</v>
      </c>
      <c r="B18" s="92">
        <v>5.1999999999999998E-2</v>
      </c>
    </row>
    <row r="19" spans="1:2" x14ac:dyDescent="0.35">
      <c r="A19" s="8" t="s">
        <v>84</v>
      </c>
      <c r="B19" s="93">
        <v>3.8800000000000001E-2</v>
      </c>
    </row>
    <row r="21" spans="1:2" x14ac:dyDescent="0.35">
      <c r="A21" t="s">
        <v>85</v>
      </c>
    </row>
    <row r="23" spans="1:2" x14ac:dyDescent="0.35">
      <c r="A23" t="s">
        <v>191</v>
      </c>
    </row>
    <row r="24" spans="1:2" x14ac:dyDescent="0.35">
      <c r="A24" t="s">
        <v>192</v>
      </c>
    </row>
    <row r="26" spans="1:2" x14ac:dyDescent="0.35">
      <c r="A2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23"/>
  <sheetViews>
    <sheetView workbookViewId="0"/>
  </sheetViews>
  <sheetFormatPr defaultColWidth="10.90625" defaultRowHeight="14.5" x14ac:dyDescent="0.35"/>
  <cols>
    <col min="1" max="1" width="6.7265625" style="172" customWidth="1"/>
    <col min="2" max="2" width="28.7265625" customWidth="1"/>
    <col min="3" max="3" width="21.7265625" customWidth="1"/>
  </cols>
  <sheetData>
    <row r="1" spans="1:3" x14ac:dyDescent="0.35">
      <c r="A1" s="172" t="s">
        <v>209</v>
      </c>
    </row>
    <row r="3" spans="1:3" x14ac:dyDescent="0.35">
      <c r="A3" s="173" t="s">
        <v>1</v>
      </c>
      <c r="B3" s="4" t="s">
        <v>210</v>
      </c>
      <c r="C3" s="6" t="s">
        <v>211</v>
      </c>
    </row>
    <row r="4" spans="1:3" x14ac:dyDescent="0.35">
      <c r="A4" s="174">
        <v>2013</v>
      </c>
      <c r="B4" s="183">
        <v>81.95</v>
      </c>
      <c r="C4" s="187">
        <v>100.47</v>
      </c>
    </row>
    <row r="5" spans="1:3" x14ac:dyDescent="0.35">
      <c r="A5" s="174">
        <v>2014</v>
      </c>
      <c r="B5" s="183">
        <v>75.77</v>
      </c>
      <c r="C5" s="187">
        <v>107.19</v>
      </c>
    </row>
    <row r="6" spans="1:3" x14ac:dyDescent="0.35">
      <c r="A6" s="174">
        <v>2015</v>
      </c>
      <c r="B6" s="183">
        <v>84.01</v>
      </c>
      <c r="C6" s="187">
        <v>115.53</v>
      </c>
    </row>
    <row r="7" spans="1:3" x14ac:dyDescent="0.35">
      <c r="A7" s="174">
        <v>2016</v>
      </c>
      <c r="B7" s="183">
        <v>85.37</v>
      </c>
      <c r="C7" s="187">
        <v>116.89</v>
      </c>
    </row>
    <row r="8" spans="1:3" x14ac:dyDescent="0.35">
      <c r="A8" s="174">
        <v>2017</v>
      </c>
      <c r="B8" s="183">
        <v>90.7</v>
      </c>
      <c r="C8" s="187">
        <v>129.32</v>
      </c>
    </row>
    <row r="9" spans="1:3" x14ac:dyDescent="0.35">
      <c r="A9" s="174">
        <v>2018</v>
      </c>
      <c r="B9" s="183">
        <v>97.77</v>
      </c>
      <c r="C9" s="187">
        <v>136.04</v>
      </c>
    </row>
    <row r="10" spans="1:3" x14ac:dyDescent="0.35">
      <c r="A10" s="174">
        <v>2019</v>
      </c>
      <c r="B10" s="183">
        <v>100.94</v>
      </c>
      <c r="C10" s="187">
        <v>143.43</v>
      </c>
    </row>
    <row r="11" spans="1:3" x14ac:dyDescent="0.35">
      <c r="A11" s="174">
        <v>2020</v>
      </c>
      <c r="B11" s="183">
        <v>108.75</v>
      </c>
      <c r="C11" s="187">
        <v>170.66</v>
      </c>
    </row>
    <row r="12" spans="1:3" x14ac:dyDescent="0.35">
      <c r="A12" s="174">
        <v>2021</v>
      </c>
      <c r="B12" s="183">
        <v>120.21</v>
      </c>
      <c r="C12" s="187">
        <v>190.76</v>
      </c>
    </row>
    <row r="13" spans="1:3" x14ac:dyDescent="0.35">
      <c r="A13" s="174">
        <v>2022</v>
      </c>
      <c r="B13" s="183">
        <v>131.02000000000001</v>
      </c>
      <c r="C13" s="187">
        <v>211.26</v>
      </c>
    </row>
    <row r="14" spans="1:3" x14ac:dyDescent="0.35">
      <c r="A14" s="175">
        <v>2023</v>
      </c>
      <c r="B14" s="184">
        <v>138.46</v>
      </c>
      <c r="C14" s="188">
        <v>240.46</v>
      </c>
    </row>
    <row r="16" spans="1:3" x14ac:dyDescent="0.35">
      <c r="A16" s="172" t="s">
        <v>63</v>
      </c>
    </row>
    <row r="20" spans="1:1" x14ac:dyDescent="0.35">
      <c r="A20" s="172" t="s">
        <v>191</v>
      </c>
    </row>
    <row r="21" spans="1:1" x14ac:dyDescent="0.35">
      <c r="A21" s="172" t="s">
        <v>192</v>
      </c>
    </row>
    <row r="23" spans="1:1" x14ac:dyDescent="0.35">
      <c r="A23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21"/>
  <sheetViews>
    <sheetView workbookViewId="0"/>
  </sheetViews>
  <sheetFormatPr defaultColWidth="10.90625" defaultRowHeight="14.5" x14ac:dyDescent="0.35"/>
  <cols>
    <col min="1" max="1" width="6.7265625" style="172" customWidth="1"/>
    <col min="2" max="2" width="28.7265625" customWidth="1"/>
    <col min="3" max="3" width="21.7265625" customWidth="1"/>
  </cols>
  <sheetData>
    <row r="1" spans="1:3" x14ac:dyDescent="0.35">
      <c r="A1" s="172" t="s">
        <v>212</v>
      </c>
    </row>
    <row r="3" spans="1:3" x14ac:dyDescent="0.35">
      <c r="A3" s="173" t="s">
        <v>1</v>
      </c>
      <c r="B3" s="4" t="s">
        <v>210</v>
      </c>
      <c r="C3" s="6" t="s">
        <v>211</v>
      </c>
    </row>
    <row r="4" spans="1:3" x14ac:dyDescent="0.35">
      <c r="A4" s="174">
        <v>2013</v>
      </c>
      <c r="B4" s="183">
        <v>85.9</v>
      </c>
      <c r="C4" s="187">
        <v>105.3</v>
      </c>
    </row>
    <row r="5" spans="1:3" x14ac:dyDescent="0.35">
      <c r="A5" s="174">
        <v>2014</v>
      </c>
      <c r="B5" s="183">
        <v>73.900000000000006</v>
      </c>
      <c r="C5" s="187">
        <v>104.6</v>
      </c>
    </row>
    <row r="6" spans="1:3" x14ac:dyDescent="0.35">
      <c r="A6" s="174">
        <v>2015</v>
      </c>
      <c r="B6" s="183">
        <v>77</v>
      </c>
      <c r="C6" s="187">
        <v>105.9</v>
      </c>
    </row>
    <row r="7" spans="1:3" x14ac:dyDescent="0.35">
      <c r="A7" s="174">
        <v>2016</v>
      </c>
      <c r="B7" s="183">
        <v>74</v>
      </c>
      <c r="C7" s="187">
        <v>101.3</v>
      </c>
    </row>
    <row r="8" spans="1:3" x14ac:dyDescent="0.35">
      <c r="A8" s="174">
        <v>2017</v>
      </c>
      <c r="B8" s="183">
        <v>74.7</v>
      </c>
      <c r="C8" s="187">
        <v>106.6</v>
      </c>
    </row>
    <row r="9" spans="1:3" x14ac:dyDescent="0.35">
      <c r="A9" s="174">
        <v>2018</v>
      </c>
      <c r="B9" s="183">
        <v>76.3</v>
      </c>
      <c r="C9" s="187">
        <v>106.1</v>
      </c>
    </row>
    <row r="10" spans="1:3" x14ac:dyDescent="0.35">
      <c r="A10" s="174">
        <v>2019</v>
      </c>
      <c r="B10" s="183">
        <v>74.5</v>
      </c>
      <c r="C10" s="187">
        <v>105.9</v>
      </c>
    </row>
    <row r="11" spans="1:3" x14ac:dyDescent="0.35">
      <c r="A11" s="174">
        <v>2020</v>
      </c>
      <c r="B11" s="183">
        <v>78.8</v>
      </c>
      <c r="C11" s="187">
        <v>123.7</v>
      </c>
    </row>
    <row r="12" spans="1:3" x14ac:dyDescent="0.35">
      <c r="A12" s="174">
        <v>2021</v>
      </c>
      <c r="B12" s="183">
        <v>79.099999999999994</v>
      </c>
      <c r="C12" s="187">
        <v>125.6</v>
      </c>
    </row>
    <row r="13" spans="1:3" x14ac:dyDescent="0.35">
      <c r="A13" s="174">
        <v>2022</v>
      </c>
      <c r="B13" s="183">
        <v>80.900000000000006</v>
      </c>
      <c r="C13" s="187">
        <v>130.5</v>
      </c>
    </row>
    <row r="14" spans="1:3" x14ac:dyDescent="0.35">
      <c r="A14" s="175">
        <v>2023</v>
      </c>
      <c r="B14" s="184">
        <v>79.5</v>
      </c>
      <c r="C14" s="188">
        <v>138.1</v>
      </c>
    </row>
    <row r="16" spans="1:3" x14ac:dyDescent="0.35">
      <c r="A16" s="172" t="s">
        <v>63</v>
      </c>
    </row>
    <row r="18" spans="1:1" x14ac:dyDescent="0.35">
      <c r="A18" s="172" t="s">
        <v>191</v>
      </c>
    </row>
    <row r="19" spans="1:1" x14ac:dyDescent="0.35">
      <c r="A19" s="172" t="s">
        <v>192</v>
      </c>
    </row>
    <row r="21" spans="1:1" x14ac:dyDescent="0.35">
      <c r="A2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21"/>
  <sheetViews>
    <sheetView workbookViewId="0"/>
  </sheetViews>
  <sheetFormatPr defaultColWidth="10.90625" defaultRowHeight="14.5" x14ac:dyDescent="0.35"/>
  <cols>
    <col min="1" max="1" width="6.7265625" style="172" customWidth="1"/>
    <col min="2" max="2" width="26.7265625" customWidth="1"/>
    <col min="3" max="3" width="32.7265625" customWidth="1"/>
    <col min="4" max="4" width="23.7265625" customWidth="1"/>
    <col min="5" max="5" width="29.7265625" customWidth="1"/>
    <col min="6" max="6" width="16.7265625" customWidth="1"/>
  </cols>
  <sheetData>
    <row r="1" spans="1:6" x14ac:dyDescent="0.35">
      <c r="A1" s="172" t="s">
        <v>213</v>
      </c>
    </row>
    <row r="3" spans="1:6" x14ac:dyDescent="0.35">
      <c r="A3" s="173" t="s">
        <v>1</v>
      </c>
      <c r="B3" s="4" t="s">
        <v>214</v>
      </c>
      <c r="C3" s="4" t="s">
        <v>215</v>
      </c>
      <c r="D3" s="4" t="s">
        <v>216</v>
      </c>
      <c r="E3" s="4" t="s">
        <v>217</v>
      </c>
      <c r="F3" s="6" t="s">
        <v>218</v>
      </c>
    </row>
    <row r="4" spans="1:6" x14ac:dyDescent="0.35">
      <c r="A4" s="174">
        <v>2013</v>
      </c>
      <c r="B4" s="183">
        <v>100.47</v>
      </c>
      <c r="C4" s="183">
        <v>81.95</v>
      </c>
      <c r="D4" s="196">
        <v>7.53</v>
      </c>
      <c r="E4" s="196">
        <v>3.93</v>
      </c>
      <c r="F4" s="187">
        <v>159.38</v>
      </c>
    </row>
    <row r="5" spans="1:6" x14ac:dyDescent="0.35">
      <c r="A5" s="174">
        <v>2014</v>
      </c>
      <c r="B5" s="183">
        <v>107.19</v>
      </c>
      <c r="C5" s="183">
        <v>75.77</v>
      </c>
      <c r="D5" s="196">
        <v>8.2899999999999991</v>
      </c>
      <c r="E5" s="196">
        <v>4.29</v>
      </c>
      <c r="F5" s="187">
        <v>179.74</v>
      </c>
    </row>
    <row r="6" spans="1:6" x14ac:dyDescent="0.35">
      <c r="A6" s="174">
        <v>2015</v>
      </c>
      <c r="B6" s="183">
        <v>115.53</v>
      </c>
      <c r="C6" s="183">
        <v>84.01</v>
      </c>
      <c r="D6" s="196">
        <v>8.9499999999999993</v>
      </c>
      <c r="E6" s="196">
        <v>4.57</v>
      </c>
      <c r="F6" s="187">
        <v>200.9</v>
      </c>
    </row>
    <row r="7" spans="1:6" x14ac:dyDescent="0.35">
      <c r="A7" s="174">
        <v>2016</v>
      </c>
      <c r="B7" s="183">
        <v>116.89</v>
      </c>
      <c r="C7" s="183">
        <v>85.37</v>
      </c>
      <c r="D7" s="196">
        <v>9.52</v>
      </c>
      <c r="E7" s="196">
        <v>4.83</v>
      </c>
      <c r="F7" s="187">
        <v>218.51</v>
      </c>
    </row>
    <row r="8" spans="1:6" x14ac:dyDescent="0.35">
      <c r="A8" s="174">
        <v>2017</v>
      </c>
      <c r="B8" s="183">
        <v>129.32</v>
      </c>
      <c r="C8" s="183">
        <v>90.7</v>
      </c>
      <c r="D8" s="196">
        <v>10.08</v>
      </c>
      <c r="E8" s="196">
        <v>5.1100000000000003</v>
      </c>
      <c r="F8" s="187">
        <v>236.77</v>
      </c>
    </row>
    <row r="9" spans="1:6" x14ac:dyDescent="0.35">
      <c r="A9" s="174">
        <v>2018</v>
      </c>
      <c r="B9" s="183">
        <v>136.04</v>
      </c>
      <c r="C9" s="183">
        <v>97.77</v>
      </c>
      <c r="D9" s="196">
        <v>10.66</v>
      </c>
      <c r="E9" s="196">
        <v>5.38</v>
      </c>
      <c r="F9" s="187">
        <v>255.01</v>
      </c>
    </row>
    <row r="10" spans="1:6" x14ac:dyDescent="0.35">
      <c r="A10" s="174">
        <v>2019</v>
      </c>
      <c r="B10" s="183">
        <v>143.43</v>
      </c>
      <c r="C10" s="183">
        <v>100.94</v>
      </c>
      <c r="D10" s="196">
        <v>11.43</v>
      </c>
      <c r="E10" s="196">
        <v>5.64</v>
      </c>
      <c r="F10" s="187">
        <v>273.55</v>
      </c>
    </row>
    <row r="11" spans="1:6" x14ac:dyDescent="0.35">
      <c r="A11" s="174">
        <v>2020</v>
      </c>
      <c r="B11" s="183">
        <v>170.66</v>
      </c>
      <c r="C11" s="183">
        <v>108.75</v>
      </c>
      <c r="D11" s="196">
        <v>12.25</v>
      </c>
      <c r="E11" s="196">
        <v>6.07</v>
      </c>
      <c r="F11" s="187">
        <v>300.97000000000003</v>
      </c>
    </row>
    <row r="12" spans="1:6" x14ac:dyDescent="0.35">
      <c r="A12" s="174">
        <v>2021</v>
      </c>
      <c r="B12" s="183">
        <v>190.76</v>
      </c>
      <c r="C12" s="183">
        <v>120.21</v>
      </c>
      <c r="D12" s="196">
        <v>13.31</v>
      </c>
      <c r="E12" s="196">
        <v>6.71</v>
      </c>
      <c r="F12" s="187">
        <v>333.39</v>
      </c>
    </row>
    <row r="13" spans="1:6" x14ac:dyDescent="0.35">
      <c r="A13" s="174">
        <v>2022</v>
      </c>
      <c r="B13" s="183">
        <v>211.26</v>
      </c>
      <c r="C13" s="183">
        <v>131.02000000000001</v>
      </c>
      <c r="D13" s="196">
        <v>14.38</v>
      </c>
      <c r="E13" s="196">
        <v>7.26</v>
      </c>
      <c r="F13" s="187">
        <v>373.72</v>
      </c>
    </row>
    <row r="14" spans="1:6" x14ac:dyDescent="0.35">
      <c r="A14" s="175">
        <v>2023</v>
      </c>
      <c r="B14" s="184">
        <v>240.46</v>
      </c>
      <c r="C14" s="184">
        <v>138.46</v>
      </c>
      <c r="D14" s="184">
        <v>15.51</v>
      </c>
      <c r="E14" s="184">
        <v>7.88</v>
      </c>
      <c r="F14" s="188">
        <v>408.59</v>
      </c>
    </row>
    <row r="16" spans="1:6" x14ac:dyDescent="0.35">
      <c r="A16" s="172" t="s">
        <v>63</v>
      </c>
    </row>
    <row r="18" spans="1:1" x14ac:dyDescent="0.35">
      <c r="A18" s="172" t="s">
        <v>191</v>
      </c>
    </row>
    <row r="19" spans="1:1" x14ac:dyDescent="0.35">
      <c r="A19" s="172" t="s">
        <v>192</v>
      </c>
    </row>
    <row r="21" spans="1:1" x14ac:dyDescent="0.35">
      <c r="A21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87"/>
  <sheetViews>
    <sheetView workbookViewId="0"/>
  </sheetViews>
  <sheetFormatPr defaultColWidth="10.90625" defaultRowHeight="14.5" x14ac:dyDescent="0.35"/>
  <cols>
    <col min="1" max="1" width="6.7265625" style="172" customWidth="1"/>
    <col min="2" max="2" width="27.7265625" customWidth="1"/>
    <col min="3" max="3" width="25.7265625" customWidth="1"/>
  </cols>
  <sheetData>
    <row r="1" spans="1:3" x14ac:dyDescent="0.35">
      <c r="A1" s="172" t="s">
        <v>219</v>
      </c>
    </row>
    <row r="3" spans="1:3" x14ac:dyDescent="0.35">
      <c r="A3" s="173" t="s">
        <v>1</v>
      </c>
      <c r="B3" s="4" t="s">
        <v>220</v>
      </c>
      <c r="C3" s="6" t="s">
        <v>206</v>
      </c>
    </row>
    <row r="4" spans="1:3" x14ac:dyDescent="0.35">
      <c r="A4" s="174">
        <v>2013</v>
      </c>
      <c r="B4" t="s">
        <v>221</v>
      </c>
      <c r="C4" s="94">
        <v>140.58000000000001</v>
      </c>
    </row>
    <row r="5" spans="1:3" x14ac:dyDescent="0.35">
      <c r="A5" s="174">
        <v>2013</v>
      </c>
      <c r="B5" t="s">
        <v>222</v>
      </c>
      <c r="C5" s="94">
        <v>196.76</v>
      </c>
    </row>
    <row r="6" spans="1:3" x14ac:dyDescent="0.35">
      <c r="A6" s="174">
        <v>2013</v>
      </c>
      <c r="B6" t="s">
        <v>223</v>
      </c>
      <c r="C6" s="94">
        <v>118.08</v>
      </c>
    </row>
    <row r="7" spans="1:3" x14ac:dyDescent="0.35">
      <c r="A7" s="174">
        <v>2013</v>
      </c>
      <c r="B7" t="s">
        <v>224</v>
      </c>
      <c r="C7" s="94">
        <v>211.39</v>
      </c>
    </row>
    <row r="8" spans="1:3" x14ac:dyDescent="0.35">
      <c r="A8" s="174">
        <v>2013</v>
      </c>
      <c r="B8" t="s">
        <v>225</v>
      </c>
      <c r="C8" s="94">
        <v>247.94</v>
      </c>
    </row>
    <row r="9" spans="1:3" x14ac:dyDescent="0.35">
      <c r="A9" s="174">
        <v>2013</v>
      </c>
      <c r="B9" t="s">
        <v>226</v>
      </c>
      <c r="C9" s="94">
        <v>126.79</v>
      </c>
    </row>
    <row r="10" spans="1:3" x14ac:dyDescent="0.35">
      <c r="A10" s="174">
        <v>2013</v>
      </c>
      <c r="B10" t="s">
        <v>227</v>
      </c>
      <c r="C10" s="94">
        <v>145.36000000000001</v>
      </c>
    </row>
    <row r="11" spans="1:3" x14ac:dyDescent="0.35">
      <c r="A11" s="174">
        <v>2014</v>
      </c>
      <c r="B11" t="s">
        <v>221</v>
      </c>
      <c r="C11" s="94">
        <v>146.54</v>
      </c>
    </row>
    <row r="12" spans="1:3" x14ac:dyDescent="0.35">
      <c r="A12" s="174">
        <v>2014</v>
      </c>
      <c r="B12" t="s">
        <v>222</v>
      </c>
      <c r="C12" s="94">
        <v>198.67</v>
      </c>
    </row>
    <row r="13" spans="1:3" x14ac:dyDescent="0.35">
      <c r="A13" s="174">
        <v>2014</v>
      </c>
      <c r="B13" t="s">
        <v>223</v>
      </c>
      <c r="C13" s="94">
        <v>119.1</v>
      </c>
    </row>
    <row r="14" spans="1:3" x14ac:dyDescent="0.35">
      <c r="A14" s="174">
        <v>2014</v>
      </c>
      <c r="B14" t="s">
        <v>224</v>
      </c>
      <c r="C14" s="94">
        <v>215.8</v>
      </c>
    </row>
    <row r="15" spans="1:3" x14ac:dyDescent="0.35">
      <c r="A15" s="174">
        <v>2014</v>
      </c>
      <c r="B15" t="s">
        <v>225</v>
      </c>
      <c r="C15" s="94">
        <v>273.42</v>
      </c>
    </row>
    <row r="16" spans="1:3" x14ac:dyDescent="0.35">
      <c r="A16" s="174">
        <v>2014</v>
      </c>
      <c r="B16" t="s">
        <v>226</v>
      </c>
      <c r="C16" s="94">
        <v>166.25</v>
      </c>
    </row>
    <row r="17" spans="1:3" x14ac:dyDescent="0.35">
      <c r="A17" s="174">
        <v>2014</v>
      </c>
      <c r="B17" t="s">
        <v>227</v>
      </c>
      <c r="C17" s="94">
        <v>159.41999999999999</v>
      </c>
    </row>
    <row r="18" spans="1:3" x14ac:dyDescent="0.35">
      <c r="A18" s="174">
        <v>2015</v>
      </c>
      <c r="B18" t="s">
        <v>221</v>
      </c>
      <c r="C18" s="94">
        <v>150.11000000000001</v>
      </c>
    </row>
    <row r="19" spans="1:3" x14ac:dyDescent="0.35">
      <c r="A19" s="174">
        <v>2015</v>
      </c>
      <c r="B19" t="s">
        <v>222</v>
      </c>
      <c r="C19" s="94">
        <v>195.17</v>
      </c>
    </row>
    <row r="20" spans="1:3" x14ac:dyDescent="0.35">
      <c r="A20" s="174">
        <v>2015</v>
      </c>
      <c r="B20" t="s">
        <v>223</v>
      </c>
      <c r="C20" s="94">
        <v>124.88</v>
      </c>
    </row>
    <row r="21" spans="1:3" x14ac:dyDescent="0.35">
      <c r="A21" s="174">
        <v>2015</v>
      </c>
      <c r="B21" t="s">
        <v>224</v>
      </c>
      <c r="C21" s="94">
        <v>217.18</v>
      </c>
    </row>
    <row r="22" spans="1:3" x14ac:dyDescent="0.35">
      <c r="A22" s="174">
        <v>2015</v>
      </c>
      <c r="B22" t="s">
        <v>225</v>
      </c>
      <c r="C22" s="94">
        <v>300.47000000000003</v>
      </c>
    </row>
    <row r="23" spans="1:3" x14ac:dyDescent="0.35">
      <c r="A23" s="174">
        <v>2015</v>
      </c>
      <c r="B23" t="s">
        <v>226</v>
      </c>
      <c r="C23" s="94">
        <v>201.21</v>
      </c>
    </row>
    <row r="24" spans="1:3" x14ac:dyDescent="0.35">
      <c r="A24" s="174">
        <v>2015</v>
      </c>
      <c r="B24" t="s">
        <v>227</v>
      </c>
      <c r="C24" s="94">
        <v>174.76</v>
      </c>
    </row>
    <row r="25" spans="1:3" x14ac:dyDescent="0.35">
      <c r="A25" s="174">
        <v>2016</v>
      </c>
      <c r="B25" t="s">
        <v>221</v>
      </c>
      <c r="C25" s="94">
        <v>154.19999999999999</v>
      </c>
    </row>
    <row r="26" spans="1:3" x14ac:dyDescent="0.35">
      <c r="A26" s="174">
        <v>2016</v>
      </c>
      <c r="B26" t="s">
        <v>222</v>
      </c>
      <c r="C26" s="94">
        <v>191.12</v>
      </c>
    </row>
    <row r="27" spans="1:3" x14ac:dyDescent="0.35">
      <c r="A27" s="174">
        <v>2016</v>
      </c>
      <c r="B27" t="s">
        <v>223</v>
      </c>
      <c r="C27" s="94">
        <v>129.57</v>
      </c>
    </row>
    <row r="28" spans="1:3" x14ac:dyDescent="0.35">
      <c r="A28" s="174">
        <v>2016</v>
      </c>
      <c r="B28" t="s">
        <v>224</v>
      </c>
      <c r="C28" s="94">
        <v>213.41</v>
      </c>
    </row>
    <row r="29" spans="1:3" x14ac:dyDescent="0.35">
      <c r="A29" s="174">
        <v>2016</v>
      </c>
      <c r="B29" t="s">
        <v>225</v>
      </c>
      <c r="C29" s="94">
        <v>326.48</v>
      </c>
    </row>
    <row r="30" spans="1:3" x14ac:dyDescent="0.35">
      <c r="A30" s="174">
        <v>2016</v>
      </c>
      <c r="B30" t="s">
        <v>226</v>
      </c>
      <c r="C30" s="94">
        <v>237.08</v>
      </c>
    </row>
    <row r="31" spans="1:3" x14ac:dyDescent="0.35">
      <c r="A31" s="174">
        <v>2016</v>
      </c>
      <c r="B31" t="s">
        <v>227</v>
      </c>
      <c r="C31" s="94">
        <v>189.43</v>
      </c>
    </row>
    <row r="32" spans="1:3" x14ac:dyDescent="0.35">
      <c r="A32" s="174">
        <v>2017</v>
      </c>
      <c r="B32" t="s">
        <v>221</v>
      </c>
      <c r="C32" s="94">
        <v>156.79</v>
      </c>
    </row>
    <row r="33" spans="1:3" x14ac:dyDescent="0.35">
      <c r="A33" s="174">
        <v>2017</v>
      </c>
      <c r="B33" t="s">
        <v>222</v>
      </c>
      <c r="C33" s="94">
        <v>190.71</v>
      </c>
    </row>
    <row r="34" spans="1:3" x14ac:dyDescent="0.35">
      <c r="A34" s="174">
        <v>2017</v>
      </c>
      <c r="B34" t="s">
        <v>223</v>
      </c>
      <c r="C34" s="94">
        <v>132.4</v>
      </c>
    </row>
    <row r="35" spans="1:3" x14ac:dyDescent="0.35">
      <c r="A35" s="174">
        <v>2017</v>
      </c>
      <c r="B35" t="s">
        <v>224</v>
      </c>
      <c r="C35" s="94">
        <v>208.12</v>
      </c>
    </row>
    <row r="36" spans="1:3" x14ac:dyDescent="0.35">
      <c r="A36" s="174">
        <v>2017</v>
      </c>
      <c r="B36" t="s">
        <v>225</v>
      </c>
      <c r="C36" s="94">
        <v>351.93</v>
      </c>
    </row>
    <row r="37" spans="1:3" x14ac:dyDescent="0.35">
      <c r="A37" s="174">
        <v>2017</v>
      </c>
      <c r="B37" t="s">
        <v>226</v>
      </c>
      <c r="C37" s="94">
        <v>273.54000000000002</v>
      </c>
    </row>
    <row r="38" spans="1:3" x14ac:dyDescent="0.35">
      <c r="A38" s="174">
        <v>2017</v>
      </c>
      <c r="B38" t="s">
        <v>227</v>
      </c>
      <c r="C38" s="94">
        <v>199.93</v>
      </c>
    </row>
    <row r="39" spans="1:3" x14ac:dyDescent="0.35">
      <c r="A39" s="174">
        <v>2018</v>
      </c>
      <c r="B39" t="s">
        <v>221</v>
      </c>
      <c r="C39" s="94">
        <v>161.44999999999999</v>
      </c>
    </row>
    <row r="40" spans="1:3" x14ac:dyDescent="0.35">
      <c r="A40" s="174">
        <v>2018</v>
      </c>
      <c r="B40" t="s">
        <v>222</v>
      </c>
      <c r="C40" s="94">
        <v>186.95</v>
      </c>
    </row>
    <row r="41" spans="1:3" x14ac:dyDescent="0.35">
      <c r="A41" s="174">
        <v>2018</v>
      </c>
      <c r="B41" t="s">
        <v>223</v>
      </c>
      <c r="C41" s="94">
        <v>134.85</v>
      </c>
    </row>
    <row r="42" spans="1:3" x14ac:dyDescent="0.35">
      <c r="A42" s="174">
        <v>2018</v>
      </c>
      <c r="B42" t="s">
        <v>224</v>
      </c>
      <c r="C42" s="94">
        <v>203.77</v>
      </c>
    </row>
    <row r="43" spans="1:3" x14ac:dyDescent="0.35">
      <c r="A43" s="174">
        <v>2018</v>
      </c>
      <c r="B43" t="s">
        <v>225</v>
      </c>
      <c r="C43" s="94">
        <v>379.69</v>
      </c>
    </row>
    <row r="44" spans="1:3" x14ac:dyDescent="0.35">
      <c r="A44" s="174">
        <v>2018</v>
      </c>
      <c r="B44" t="s">
        <v>226</v>
      </c>
      <c r="C44" s="94">
        <v>317.02</v>
      </c>
    </row>
    <row r="45" spans="1:3" x14ac:dyDescent="0.35">
      <c r="A45" s="174">
        <v>2018</v>
      </c>
      <c r="B45" t="s">
        <v>227</v>
      </c>
      <c r="C45" s="94">
        <v>209.83</v>
      </c>
    </row>
    <row r="46" spans="1:3" x14ac:dyDescent="0.35">
      <c r="A46" s="174">
        <v>2019</v>
      </c>
      <c r="B46" t="s">
        <v>221</v>
      </c>
      <c r="C46" s="94">
        <v>146.44</v>
      </c>
    </row>
    <row r="47" spans="1:3" x14ac:dyDescent="0.35">
      <c r="A47" s="174">
        <v>2019</v>
      </c>
      <c r="B47" t="s">
        <v>222</v>
      </c>
      <c r="C47" s="94">
        <v>192.39</v>
      </c>
    </row>
    <row r="48" spans="1:3" x14ac:dyDescent="0.35">
      <c r="A48" s="174">
        <v>2019</v>
      </c>
      <c r="B48" t="s">
        <v>223</v>
      </c>
      <c r="C48" s="94">
        <v>138.22999999999999</v>
      </c>
    </row>
    <row r="49" spans="1:3" x14ac:dyDescent="0.35">
      <c r="A49" s="174">
        <v>2019</v>
      </c>
      <c r="B49" t="s">
        <v>224</v>
      </c>
      <c r="C49" s="94">
        <v>201.5</v>
      </c>
    </row>
    <row r="50" spans="1:3" x14ac:dyDescent="0.35">
      <c r="A50" s="174">
        <v>2019</v>
      </c>
      <c r="B50" t="s">
        <v>225</v>
      </c>
      <c r="C50" s="94">
        <v>417.82</v>
      </c>
    </row>
    <row r="51" spans="1:3" x14ac:dyDescent="0.35">
      <c r="A51" s="174">
        <v>2019</v>
      </c>
      <c r="B51" t="s">
        <v>226</v>
      </c>
      <c r="C51" s="94">
        <v>362.8</v>
      </c>
    </row>
    <row r="52" spans="1:3" x14ac:dyDescent="0.35">
      <c r="A52" s="174">
        <v>2019</v>
      </c>
      <c r="B52" t="s">
        <v>227</v>
      </c>
      <c r="C52" s="94">
        <v>225.29</v>
      </c>
    </row>
    <row r="53" spans="1:3" x14ac:dyDescent="0.35">
      <c r="A53" s="174">
        <v>2020</v>
      </c>
      <c r="B53" t="s">
        <v>221</v>
      </c>
      <c r="C53" s="94">
        <v>146.31</v>
      </c>
    </row>
    <row r="54" spans="1:3" x14ac:dyDescent="0.35">
      <c r="A54" s="174">
        <v>2020</v>
      </c>
      <c r="B54" t="s">
        <v>222</v>
      </c>
      <c r="C54" s="94">
        <v>175.04</v>
      </c>
    </row>
    <row r="55" spans="1:3" x14ac:dyDescent="0.35">
      <c r="A55" s="174">
        <v>2020</v>
      </c>
      <c r="B55" t="s">
        <v>223</v>
      </c>
      <c r="C55" s="94">
        <v>135.56</v>
      </c>
    </row>
    <row r="56" spans="1:3" x14ac:dyDescent="0.35">
      <c r="A56" s="174">
        <v>2020</v>
      </c>
      <c r="B56" t="s">
        <v>224</v>
      </c>
      <c r="C56" s="94">
        <v>238.84</v>
      </c>
    </row>
    <row r="57" spans="1:3" x14ac:dyDescent="0.35">
      <c r="A57" s="174">
        <v>2020</v>
      </c>
      <c r="B57" t="s">
        <v>225</v>
      </c>
      <c r="C57" s="94">
        <v>421.55</v>
      </c>
    </row>
    <row r="58" spans="1:3" x14ac:dyDescent="0.35">
      <c r="A58" s="174">
        <v>2020</v>
      </c>
      <c r="B58" t="s">
        <v>226</v>
      </c>
      <c r="C58" s="94">
        <v>369.59</v>
      </c>
    </row>
    <row r="59" spans="1:3" x14ac:dyDescent="0.35">
      <c r="A59" s="174">
        <v>2020</v>
      </c>
      <c r="B59" t="s">
        <v>227</v>
      </c>
      <c r="C59" s="94">
        <v>227.27</v>
      </c>
    </row>
    <row r="60" spans="1:3" x14ac:dyDescent="0.35">
      <c r="A60" s="174">
        <v>2021</v>
      </c>
      <c r="B60" t="s">
        <v>221</v>
      </c>
      <c r="C60" s="94">
        <v>165.27</v>
      </c>
    </row>
    <row r="61" spans="1:3" x14ac:dyDescent="0.35">
      <c r="A61" s="174">
        <v>2021</v>
      </c>
      <c r="B61" t="s">
        <v>222</v>
      </c>
      <c r="C61" s="94">
        <v>177.26</v>
      </c>
    </row>
    <row r="62" spans="1:3" x14ac:dyDescent="0.35">
      <c r="A62" s="174">
        <v>2021</v>
      </c>
      <c r="B62" t="s">
        <v>223</v>
      </c>
      <c r="C62" s="94">
        <v>141.27000000000001</v>
      </c>
    </row>
    <row r="63" spans="1:3" x14ac:dyDescent="0.35">
      <c r="A63" s="174">
        <v>2021</v>
      </c>
      <c r="B63" t="s">
        <v>224</v>
      </c>
      <c r="C63" s="94">
        <v>278.31</v>
      </c>
    </row>
    <row r="64" spans="1:3" x14ac:dyDescent="0.35">
      <c r="A64" s="174">
        <v>2021</v>
      </c>
      <c r="B64" t="s">
        <v>225</v>
      </c>
      <c r="C64" s="94">
        <v>476.24</v>
      </c>
    </row>
    <row r="65" spans="1:3" x14ac:dyDescent="0.35">
      <c r="A65" s="174">
        <v>2021</v>
      </c>
      <c r="B65" t="s">
        <v>226</v>
      </c>
      <c r="C65" s="94">
        <v>418.89</v>
      </c>
    </row>
    <row r="66" spans="1:3" x14ac:dyDescent="0.35">
      <c r="A66" s="174">
        <v>2021</v>
      </c>
      <c r="B66" t="s">
        <v>227</v>
      </c>
      <c r="C66" s="94">
        <v>245.03</v>
      </c>
    </row>
    <row r="67" spans="1:3" x14ac:dyDescent="0.35">
      <c r="A67" s="174">
        <v>2022</v>
      </c>
      <c r="B67" t="s">
        <v>221</v>
      </c>
      <c r="C67" s="94">
        <v>179.83</v>
      </c>
    </row>
    <row r="68" spans="1:3" x14ac:dyDescent="0.35">
      <c r="A68" s="174">
        <v>2022</v>
      </c>
      <c r="B68" t="s">
        <v>222</v>
      </c>
      <c r="C68" s="94">
        <v>174.15</v>
      </c>
    </row>
    <row r="69" spans="1:3" x14ac:dyDescent="0.35">
      <c r="A69" s="174">
        <v>2022</v>
      </c>
      <c r="B69" t="s">
        <v>223</v>
      </c>
      <c r="C69" s="94">
        <v>144.69999999999999</v>
      </c>
    </row>
    <row r="70" spans="1:3" x14ac:dyDescent="0.35">
      <c r="A70" s="174">
        <v>2022</v>
      </c>
      <c r="B70" t="s">
        <v>224</v>
      </c>
      <c r="C70" s="94">
        <v>260.93</v>
      </c>
    </row>
    <row r="71" spans="1:3" x14ac:dyDescent="0.35">
      <c r="A71" s="174">
        <v>2022</v>
      </c>
      <c r="B71" t="s">
        <v>225</v>
      </c>
      <c r="C71" s="94">
        <v>538.86</v>
      </c>
    </row>
    <row r="72" spans="1:3" x14ac:dyDescent="0.35">
      <c r="A72" s="174">
        <v>2022</v>
      </c>
      <c r="B72" t="s">
        <v>226</v>
      </c>
      <c r="C72" s="94">
        <v>466.61</v>
      </c>
    </row>
    <row r="73" spans="1:3" x14ac:dyDescent="0.35">
      <c r="A73" s="174">
        <v>2022</v>
      </c>
      <c r="B73" t="s">
        <v>227</v>
      </c>
      <c r="C73" s="94">
        <v>267.51</v>
      </c>
    </row>
    <row r="74" spans="1:3" x14ac:dyDescent="0.35">
      <c r="A74" s="174">
        <v>2023</v>
      </c>
      <c r="B74" t="s">
        <v>221</v>
      </c>
      <c r="C74" s="94">
        <v>191.61</v>
      </c>
    </row>
    <row r="75" spans="1:3" x14ac:dyDescent="0.35">
      <c r="A75" s="174">
        <v>2023</v>
      </c>
      <c r="B75" t="s">
        <v>222</v>
      </c>
      <c r="C75" s="94">
        <v>170.89</v>
      </c>
    </row>
    <row r="76" spans="1:3" x14ac:dyDescent="0.35">
      <c r="A76" s="174">
        <v>2023</v>
      </c>
      <c r="B76" t="s">
        <v>223</v>
      </c>
      <c r="C76" s="94">
        <v>143.46</v>
      </c>
    </row>
    <row r="77" spans="1:3" x14ac:dyDescent="0.35">
      <c r="A77" s="174">
        <v>2023</v>
      </c>
      <c r="B77" t="s">
        <v>224</v>
      </c>
      <c r="C77" s="94">
        <v>276.31</v>
      </c>
    </row>
    <row r="78" spans="1:3" x14ac:dyDescent="0.35">
      <c r="A78" s="174">
        <v>2023</v>
      </c>
      <c r="B78" t="s">
        <v>225</v>
      </c>
      <c r="C78" s="94">
        <v>593.69000000000005</v>
      </c>
    </row>
    <row r="79" spans="1:3" x14ac:dyDescent="0.35">
      <c r="A79" s="174">
        <v>2023</v>
      </c>
      <c r="B79" t="s">
        <v>226</v>
      </c>
      <c r="C79" s="94">
        <v>518.46</v>
      </c>
    </row>
    <row r="80" spans="1:3" x14ac:dyDescent="0.35">
      <c r="A80" s="175">
        <v>2023</v>
      </c>
      <c r="B80" s="10" t="s">
        <v>227</v>
      </c>
      <c r="C80" s="95">
        <v>289.48</v>
      </c>
    </row>
    <row r="82" spans="1:1" x14ac:dyDescent="0.35">
      <c r="A82" s="172" t="s">
        <v>63</v>
      </c>
    </row>
    <row r="84" spans="1:1" x14ac:dyDescent="0.35">
      <c r="A84" s="172" t="s">
        <v>191</v>
      </c>
    </row>
    <row r="85" spans="1:1" x14ac:dyDescent="0.35">
      <c r="A85" s="172" t="s">
        <v>192</v>
      </c>
    </row>
    <row r="87" spans="1:1" x14ac:dyDescent="0.35">
      <c r="A87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workbookViewId="0"/>
  </sheetViews>
  <sheetFormatPr defaultColWidth="10.90625" defaultRowHeight="14.5" x14ac:dyDescent="0.35"/>
  <cols>
    <col min="1" max="1" width="6.7265625" style="172" customWidth="1"/>
    <col min="2" max="2" width="11.7265625" customWidth="1"/>
    <col min="3" max="3" width="18.7265625" customWidth="1"/>
    <col min="4" max="5" width="42.7265625" customWidth="1"/>
    <col min="6" max="6" width="17.7265625" customWidth="1"/>
    <col min="7" max="8" width="41.7265625" customWidth="1"/>
  </cols>
  <sheetData>
    <row r="1" spans="1:8" x14ac:dyDescent="0.35">
      <c r="A1" s="172" t="s">
        <v>40</v>
      </c>
    </row>
    <row r="3" spans="1:8" x14ac:dyDescent="0.35">
      <c r="A3" s="173" t="s">
        <v>1</v>
      </c>
      <c r="B3" s="4" t="s">
        <v>41</v>
      </c>
      <c r="C3" s="4" t="s">
        <v>3</v>
      </c>
      <c r="D3" s="4" t="s">
        <v>4</v>
      </c>
      <c r="E3" s="4" t="s">
        <v>5</v>
      </c>
      <c r="F3" s="4" t="s">
        <v>42</v>
      </c>
      <c r="G3" s="4" t="s">
        <v>43</v>
      </c>
      <c r="H3" s="6" t="s">
        <v>44</v>
      </c>
    </row>
    <row r="4" spans="1:8" x14ac:dyDescent="0.35">
      <c r="A4" s="174">
        <v>2000</v>
      </c>
      <c r="B4" t="s">
        <v>45</v>
      </c>
      <c r="C4" s="17">
        <v>0.03</v>
      </c>
      <c r="D4" s="17">
        <v>2.7E-2</v>
      </c>
      <c r="E4" s="17">
        <v>3.4000000000000002E-2</v>
      </c>
      <c r="F4" s="16">
        <v>598.79999999999995</v>
      </c>
      <c r="G4">
        <v>536.20000000000005</v>
      </c>
      <c r="H4" s="18">
        <v>669.2</v>
      </c>
    </row>
    <row r="5" spans="1:8" x14ac:dyDescent="0.35">
      <c r="A5" s="174">
        <v>2000</v>
      </c>
      <c r="B5" t="s">
        <v>46</v>
      </c>
      <c r="C5" s="17">
        <v>2.1999999999999999E-2</v>
      </c>
      <c r="D5" s="17">
        <v>0.02</v>
      </c>
      <c r="E5" s="17">
        <v>2.5000000000000001E-2</v>
      </c>
      <c r="F5" s="16">
        <v>410.7</v>
      </c>
      <c r="G5">
        <v>364.1</v>
      </c>
      <c r="H5" s="18">
        <v>460.6</v>
      </c>
    </row>
    <row r="6" spans="1:8" x14ac:dyDescent="0.35">
      <c r="A6" s="174">
        <v>2001</v>
      </c>
      <c r="B6" t="s">
        <v>45</v>
      </c>
      <c r="C6" s="17">
        <v>0.03</v>
      </c>
      <c r="D6" s="17">
        <v>2.7E-2</v>
      </c>
      <c r="E6" s="17">
        <v>3.4000000000000002E-2</v>
      </c>
      <c r="F6" s="16">
        <v>598</v>
      </c>
      <c r="G6">
        <v>535.5</v>
      </c>
      <c r="H6" s="18">
        <v>670</v>
      </c>
    </row>
    <row r="7" spans="1:8" x14ac:dyDescent="0.35">
      <c r="A7" s="174">
        <v>2001</v>
      </c>
      <c r="B7" t="s">
        <v>46</v>
      </c>
      <c r="C7" s="17">
        <v>2.1999999999999999E-2</v>
      </c>
      <c r="D7" s="17">
        <v>0.02</v>
      </c>
      <c r="E7" s="17">
        <v>2.5000000000000001E-2</v>
      </c>
      <c r="F7" s="16">
        <v>411.4</v>
      </c>
      <c r="G7">
        <v>364.5</v>
      </c>
      <c r="H7" s="18">
        <v>461.4</v>
      </c>
    </row>
    <row r="8" spans="1:8" x14ac:dyDescent="0.35">
      <c r="A8" s="174">
        <v>2002</v>
      </c>
      <c r="B8" t="s">
        <v>45</v>
      </c>
      <c r="C8" s="17">
        <v>0.03</v>
      </c>
      <c r="D8" s="17">
        <v>2.7E-2</v>
      </c>
      <c r="E8" s="17">
        <v>3.4000000000000002E-2</v>
      </c>
      <c r="F8" s="16">
        <v>590.5</v>
      </c>
      <c r="G8">
        <v>528.6</v>
      </c>
      <c r="H8" s="18">
        <v>661.1</v>
      </c>
    </row>
    <row r="9" spans="1:8" x14ac:dyDescent="0.35">
      <c r="A9" s="174">
        <v>2002</v>
      </c>
      <c r="B9" t="s">
        <v>46</v>
      </c>
      <c r="C9" s="17">
        <v>2.1999999999999999E-2</v>
      </c>
      <c r="D9" s="17">
        <v>0.02</v>
      </c>
      <c r="E9" s="17">
        <v>2.5000000000000001E-2</v>
      </c>
      <c r="F9" s="16">
        <v>408.9</v>
      </c>
      <c r="G9">
        <v>363.1</v>
      </c>
      <c r="H9" s="18">
        <v>458.7</v>
      </c>
    </row>
    <row r="10" spans="1:8" x14ac:dyDescent="0.35">
      <c r="A10" s="174">
        <v>2003</v>
      </c>
      <c r="B10" t="s">
        <v>45</v>
      </c>
      <c r="C10" s="17">
        <v>2.9000000000000001E-2</v>
      </c>
      <c r="D10" s="17">
        <v>2.5999999999999999E-2</v>
      </c>
      <c r="E10" s="17">
        <v>3.3000000000000002E-2</v>
      </c>
      <c r="F10" s="16">
        <v>580.4</v>
      </c>
      <c r="G10">
        <v>518.70000000000005</v>
      </c>
      <c r="H10" s="18">
        <v>650.6</v>
      </c>
    </row>
    <row r="11" spans="1:8" x14ac:dyDescent="0.35">
      <c r="A11" s="174">
        <v>2003</v>
      </c>
      <c r="B11" t="s">
        <v>46</v>
      </c>
      <c r="C11" s="17">
        <v>2.1999999999999999E-2</v>
      </c>
      <c r="D11" s="17">
        <v>1.9E-2</v>
      </c>
      <c r="E11" s="17">
        <v>2.5000000000000001E-2</v>
      </c>
      <c r="F11" s="16">
        <v>405</v>
      </c>
      <c r="G11">
        <v>359.3</v>
      </c>
      <c r="H11" s="18">
        <v>453.8</v>
      </c>
    </row>
    <row r="12" spans="1:8" x14ac:dyDescent="0.35">
      <c r="A12" s="174">
        <v>2004</v>
      </c>
      <c r="B12" t="s">
        <v>45</v>
      </c>
      <c r="C12" s="17">
        <v>2.9000000000000001E-2</v>
      </c>
      <c r="D12" s="17">
        <v>2.5999999999999999E-2</v>
      </c>
      <c r="E12" s="17">
        <v>3.2000000000000001E-2</v>
      </c>
      <c r="F12" s="16">
        <v>571.70000000000005</v>
      </c>
      <c r="G12">
        <v>512.1</v>
      </c>
      <c r="H12" s="18">
        <v>639.6</v>
      </c>
    </row>
    <row r="13" spans="1:8" x14ac:dyDescent="0.35">
      <c r="A13" s="174">
        <v>2004</v>
      </c>
      <c r="B13" t="s">
        <v>46</v>
      </c>
      <c r="C13" s="17">
        <v>2.1999999999999999E-2</v>
      </c>
      <c r="D13" s="17">
        <v>1.9E-2</v>
      </c>
      <c r="E13" s="17">
        <v>2.4E-2</v>
      </c>
      <c r="F13" s="16">
        <v>402</v>
      </c>
      <c r="G13">
        <v>356.7</v>
      </c>
      <c r="H13" s="18">
        <v>450.2</v>
      </c>
    </row>
    <row r="14" spans="1:8" x14ac:dyDescent="0.35">
      <c r="A14" s="174">
        <v>2005</v>
      </c>
      <c r="B14" t="s">
        <v>45</v>
      </c>
      <c r="C14" s="17">
        <v>2.9000000000000001E-2</v>
      </c>
      <c r="D14" s="17">
        <v>2.5999999999999999E-2</v>
      </c>
      <c r="E14" s="17">
        <v>3.2000000000000001E-2</v>
      </c>
      <c r="F14" s="16">
        <v>568.70000000000005</v>
      </c>
      <c r="G14">
        <v>509.3</v>
      </c>
      <c r="H14" s="18">
        <v>635.6</v>
      </c>
    </row>
    <row r="15" spans="1:8" x14ac:dyDescent="0.35">
      <c r="A15" s="174">
        <v>2005</v>
      </c>
      <c r="B15" t="s">
        <v>46</v>
      </c>
      <c r="C15" s="17">
        <v>2.1999999999999999E-2</v>
      </c>
      <c r="D15" s="17">
        <v>1.9E-2</v>
      </c>
      <c r="E15" s="17">
        <v>2.4E-2</v>
      </c>
      <c r="F15" s="16">
        <v>401.9</v>
      </c>
      <c r="G15">
        <v>356.5</v>
      </c>
      <c r="H15" s="18">
        <v>449.8</v>
      </c>
    </row>
    <row r="16" spans="1:8" x14ac:dyDescent="0.35">
      <c r="A16" s="174">
        <v>2006</v>
      </c>
      <c r="B16" t="s">
        <v>45</v>
      </c>
      <c r="C16" s="17">
        <v>2.9000000000000001E-2</v>
      </c>
      <c r="D16" s="17">
        <v>2.5999999999999999E-2</v>
      </c>
      <c r="E16" s="17">
        <v>3.2000000000000001E-2</v>
      </c>
      <c r="F16" s="16">
        <v>570.20000000000005</v>
      </c>
      <c r="G16">
        <v>509.4</v>
      </c>
      <c r="H16" s="18">
        <v>639.20000000000005</v>
      </c>
    </row>
    <row r="17" spans="1:8" x14ac:dyDescent="0.35">
      <c r="A17" s="174">
        <v>2006</v>
      </c>
      <c r="B17" t="s">
        <v>46</v>
      </c>
      <c r="C17" s="17">
        <v>2.1999999999999999E-2</v>
      </c>
      <c r="D17" s="17">
        <v>1.9E-2</v>
      </c>
      <c r="E17" s="17">
        <v>2.4E-2</v>
      </c>
      <c r="F17" s="16">
        <v>404</v>
      </c>
      <c r="G17">
        <v>359</v>
      </c>
      <c r="H17" s="18">
        <v>450.8</v>
      </c>
    </row>
    <row r="18" spans="1:8" x14ac:dyDescent="0.35">
      <c r="A18" s="174">
        <v>2007</v>
      </c>
      <c r="B18" t="s">
        <v>45</v>
      </c>
      <c r="C18" s="17">
        <v>2.9000000000000001E-2</v>
      </c>
      <c r="D18" s="17">
        <v>2.5999999999999999E-2</v>
      </c>
      <c r="E18" s="17">
        <v>3.2000000000000001E-2</v>
      </c>
      <c r="F18" s="16">
        <v>571.79999999999995</v>
      </c>
      <c r="G18">
        <v>511</v>
      </c>
      <c r="H18" s="18">
        <v>639.29999999999995</v>
      </c>
    </row>
    <row r="19" spans="1:8" x14ac:dyDescent="0.35">
      <c r="A19" s="174">
        <v>2007</v>
      </c>
      <c r="B19" t="s">
        <v>46</v>
      </c>
      <c r="C19" s="17">
        <v>2.1999999999999999E-2</v>
      </c>
      <c r="D19" s="17">
        <v>0.02</v>
      </c>
      <c r="E19" s="17">
        <v>2.5000000000000001E-2</v>
      </c>
      <c r="F19" s="16">
        <v>406.3</v>
      </c>
      <c r="G19">
        <v>360.8</v>
      </c>
      <c r="H19" s="18">
        <v>454.3</v>
      </c>
    </row>
    <row r="20" spans="1:8" x14ac:dyDescent="0.35">
      <c r="A20" s="174">
        <v>2008</v>
      </c>
      <c r="B20" t="s">
        <v>45</v>
      </c>
      <c r="C20" s="17">
        <v>2.9000000000000001E-2</v>
      </c>
      <c r="D20" s="17">
        <v>2.5999999999999999E-2</v>
      </c>
      <c r="E20" s="17">
        <v>3.3000000000000002E-2</v>
      </c>
      <c r="F20" s="16">
        <v>573.5</v>
      </c>
      <c r="G20">
        <v>513.5</v>
      </c>
      <c r="H20" s="18">
        <v>642.29999999999995</v>
      </c>
    </row>
    <row r="21" spans="1:8" x14ac:dyDescent="0.35">
      <c r="A21" s="174">
        <v>2008</v>
      </c>
      <c r="B21" t="s">
        <v>46</v>
      </c>
      <c r="C21" s="17">
        <v>2.1999999999999999E-2</v>
      </c>
      <c r="D21" s="17">
        <v>0.02</v>
      </c>
      <c r="E21" s="17">
        <v>2.5000000000000001E-2</v>
      </c>
      <c r="F21" s="16">
        <v>408.5</v>
      </c>
      <c r="G21">
        <v>362.2</v>
      </c>
      <c r="H21" s="18">
        <v>457.7</v>
      </c>
    </row>
    <row r="22" spans="1:8" x14ac:dyDescent="0.35">
      <c r="A22" s="174">
        <v>2009</v>
      </c>
      <c r="B22" t="s">
        <v>45</v>
      </c>
      <c r="C22" s="17">
        <v>2.9000000000000001E-2</v>
      </c>
      <c r="D22" s="17">
        <v>2.5999999999999999E-2</v>
      </c>
      <c r="E22" s="17">
        <v>3.2000000000000001E-2</v>
      </c>
      <c r="F22" s="16">
        <v>575.29999999999995</v>
      </c>
      <c r="G22">
        <v>513.79999999999995</v>
      </c>
      <c r="H22" s="18">
        <v>642.9</v>
      </c>
    </row>
    <row r="23" spans="1:8" x14ac:dyDescent="0.35">
      <c r="A23" s="174">
        <v>2009</v>
      </c>
      <c r="B23" t="s">
        <v>46</v>
      </c>
      <c r="C23" s="17">
        <v>2.1999999999999999E-2</v>
      </c>
      <c r="D23" s="17">
        <v>0.02</v>
      </c>
      <c r="E23" s="17">
        <v>2.5000000000000001E-2</v>
      </c>
      <c r="F23" s="16">
        <v>410.6</v>
      </c>
      <c r="G23">
        <v>364.6</v>
      </c>
      <c r="H23" s="18">
        <v>459.3</v>
      </c>
    </row>
    <row r="24" spans="1:8" x14ac:dyDescent="0.35">
      <c r="A24" s="174">
        <v>2010</v>
      </c>
      <c r="B24" t="s">
        <v>45</v>
      </c>
      <c r="C24" s="17">
        <v>2.9000000000000001E-2</v>
      </c>
      <c r="D24" s="17">
        <v>2.5999999999999999E-2</v>
      </c>
      <c r="E24" s="17">
        <v>3.2000000000000001E-2</v>
      </c>
      <c r="F24" s="16">
        <v>577.1</v>
      </c>
      <c r="G24">
        <v>516.9</v>
      </c>
      <c r="H24" s="18">
        <v>643.6</v>
      </c>
    </row>
    <row r="25" spans="1:8" x14ac:dyDescent="0.35">
      <c r="A25" s="174">
        <v>2010</v>
      </c>
      <c r="B25" t="s">
        <v>46</v>
      </c>
      <c r="C25" s="17">
        <v>2.1999999999999999E-2</v>
      </c>
      <c r="D25" s="17">
        <v>0.02</v>
      </c>
      <c r="E25" s="17">
        <v>2.5000000000000001E-2</v>
      </c>
      <c r="F25" s="16">
        <v>412.6</v>
      </c>
      <c r="G25">
        <v>366.4</v>
      </c>
      <c r="H25" s="18">
        <v>462.6</v>
      </c>
    </row>
    <row r="26" spans="1:8" x14ac:dyDescent="0.35">
      <c r="A26" s="174">
        <v>2011</v>
      </c>
      <c r="B26" t="s">
        <v>45</v>
      </c>
      <c r="C26" s="17">
        <v>2.9000000000000001E-2</v>
      </c>
      <c r="D26" s="17">
        <v>2.5999999999999999E-2</v>
      </c>
      <c r="E26" s="17">
        <v>3.3000000000000002E-2</v>
      </c>
      <c r="F26" s="16">
        <v>578.9</v>
      </c>
      <c r="G26">
        <v>517.79999999999995</v>
      </c>
      <c r="H26" s="18">
        <v>646</v>
      </c>
    </row>
    <row r="27" spans="1:8" x14ac:dyDescent="0.35">
      <c r="A27" s="174">
        <v>2011</v>
      </c>
      <c r="B27" t="s">
        <v>46</v>
      </c>
      <c r="C27" s="17">
        <v>2.1999999999999999E-2</v>
      </c>
      <c r="D27" s="17">
        <v>0.02</v>
      </c>
      <c r="E27" s="17">
        <v>2.5000000000000001E-2</v>
      </c>
      <c r="F27" s="16">
        <v>414.3</v>
      </c>
      <c r="G27">
        <v>368.2</v>
      </c>
      <c r="H27" s="18">
        <v>463.3</v>
      </c>
    </row>
    <row r="28" spans="1:8" x14ac:dyDescent="0.35">
      <c r="A28" s="174">
        <v>2012</v>
      </c>
      <c r="B28" t="s">
        <v>45</v>
      </c>
      <c r="C28" s="17">
        <v>2.9000000000000001E-2</v>
      </c>
      <c r="D28" s="17">
        <v>2.5999999999999999E-2</v>
      </c>
      <c r="E28" s="17">
        <v>3.3000000000000002E-2</v>
      </c>
      <c r="F28" s="16">
        <v>580.20000000000005</v>
      </c>
      <c r="G28">
        <v>519.6</v>
      </c>
      <c r="H28" s="18">
        <v>646.70000000000005</v>
      </c>
    </row>
    <row r="29" spans="1:8" x14ac:dyDescent="0.35">
      <c r="A29" s="174">
        <v>2012</v>
      </c>
      <c r="B29" t="s">
        <v>46</v>
      </c>
      <c r="C29" s="17">
        <v>2.1999999999999999E-2</v>
      </c>
      <c r="D29" s="17">
        <v>0.02</v>
      </c>
      <c r="E29" s="17">
        <v>2.5000000000000001E-2</v>
      </c>
      <c r="F29" s="16">
        <v>415.2</v>
      </c>
      <c r="G29">
        <v>368.8</v>
      </c>
      <c r="H29" s="18">
        <v>465.2</v>
      </c>
    </row>
    <row r="30" spans="1:8" x14ac:dyDescent="0.35">
      <c r="A30" s="174">
        <v>2013</v>
      </c>
      <c r="B30" t="s">
        <v>45</v>
      </c>
      <c r="C30" s="17">
        <v>2.9000000000000001E-2</v>
      </c>
      <c r="D30" s="17">
        <v>2.5999999999999999E-2</v>
      </c>
      <c r="E30" s="17">
        <v>3.3000000000000002E-2</v>
      </c>
      <c r="F30" s="16">
        <v>581.29999999999995</v>
      </c>
      <c r="G30">
        <v>520.1</v>
      </c>
      <c r="H30" s="18">
        <v>647.29999999999995</v>
      </c>
    </row>
    <row r="31" spans="1:8" x14ac:dyDescent="0.35">
      <c r="A31" s="174">
        <v>2013</v>
      </c>
      <c r="B31" t="s">
        <v>46</v>
      </c>
      <c r="C31" s="17">
        <v>2.1999999999999999E-2</v>
      </c>
      <c r="D31" s="17">
        <v>0.02</v>
      </c>
      <c r="E31" s="17">
        <v>2.5000000000000001E-2</v>
      </c>
      <c r="F31" s="16">
        <v>415.9</v>
      </c>
      <c r="G31">
        <v>369.7</v>
      </c>
      <c r="H31" s="18">
        <v>465.5</v>
      </c>
    </row>
    <row r="32" spans="1:8" x14ac:dyDescent="0.35">
      <c r="A32" s="174">
        <v>2014</v>
      </c>
      <c r="B32" t="s">
        <v>45</v>
      </c>
      <c r="C32" s="17">
        <v>2.9000000000000001E-2</v>
      </c>
      <c r="D32" s="17">
        <v>2.5999999999999999E-2</v>
      </c>
      <c r="E32" s="17">
        <v>3.3000000000000002E-2</v>
      </c>
      <c r="F32" s="16">
        <v>582.29999999999995</v>
      </c>
      <c r="G32">
        <v>520</v>
      </c>
      <c r="H32" s="18">
        <v>648.5</v>
      </c>
    </row>
    <row r="33" spans="1:8" x14ac:dyDescent="0.35">
      <c r="A33" s="174">
        <v>2014</v>
      </c>
      <c r="B33" t="s">
        <v>46</v>
      </c>
      <c r="C33" s="17">
        <v>2.1999999999999999E-2</v>
      </c>
      <c r="D33" s="17">
        <v>0.02</v>
      </c>
      <c r="E33" s="17">
        <v>2.5000000000000001E-2</v>
      </c>
      <c r="F33" s="16">
        <v>416.7</v>
      </c>
      <c r="G33">
        <v>371</v>
      </c>
      <c r="H33" s="18">
        <v>466</v>
      </c>
    </row>
    <row r="34" spans="1:8" x14ac:dyDescent="0.35">
      <c r="A34" s="174">
        <v>2015</v>
      </c>
      <c r="B34" t="s">
        <v>45</v>
      </c>
      <c r="C34" s="17">
        <v>2.9000000000000001E-2</v>
      </c>
      <c r="D34" s="17">
        <v>2.5999999999999999E-2</v>
      </c>
      <c r="E34" s="17">
        <v>3.3000000000000002E-2</v>
      </c>
      <c r="F34" s="16">
        <v>583.1</v>
      </c>
      <c r="G34">
        <v>520.29999999999995</v>
      </c>
      <c r="H34" s="18">
        <v>649.5</v>
      </c>
    </row>
    <row r="35" spans="1:8" x14ac:dyDescent="0.35">
      <c r="A35" s="174">
        <v>2015</v>
      </c>
      <c r="B35" t="s">
        <v>46</v>
      </c>
      <c r="C35" s="17">
        <v>2.1999999999999999E-2</v>
      </c>
      <c r="D35" s="17">
        <v>0.02</v>
      </c>
      <c r="E35" s="17">
        <v>2.5000000000000001E-2</v>
      </c>
      <c r="F35" s="16">
        <v>417.5</v>
      </c>
      <c r="G35">
        <v>370.9</v>
      </c>
      <c r="H35" s="18">
        <v>467.7</v>
      </c>
    </row>
    <row r="36" spans="1:8" x14ac:dyDescent="0.35">
      <c r="A36" s="174">
        <v>2016</v>
      </c>
      <c r="B36" t="s">
        <v>45</v>
      </c>
      <c r="C36" s="17">
        <v>2.9000000000000001E-2</v>
      </c>
      <c r="D36" s="17">
        <v>2.5999999999999999E-2</v>
      </c>
      <c r="E36" s="17">
        <v>3.3000000000000002E-2</v>
      </c>
      <c r="F36" s="16">
        <v>583.6</v>
      </c>
      <c r="G36">
        <v>520.79999999999995</v>
      </c>
      <c r="H36" s="18">
        <v>650.29999999999995</v>
      </c>
    </row>
    <row r="37" spans="1:8" x14ac:dyDescent="0.35">
      <c r="A37" s="174">
        <v>2016</v>
      </c>
      <c r="B37" t="s">
        <v>46</v>
      </c>
      <c r="C37" s="17">
        <v>2.1999999999999999E-2</v>
      </c>
      <c r="D37" s="17">
        <v>0.02</v>
      </c>
      <c r="E37" s="17">
        <v>2.5000000000000001E-2</v>
      </c>
      <c r="F37" s="16">
        <v>418.6</v>
      </c>
      <c r="G37">
        <v>371.1</v>
      </c>
      <c r="H37" s="18">
        <v>469.3</v>
      </c>
    </row>
    <row r="38" spans="1:8" x14ac:dyDescent="0.35">
      <c r="A38" s="174">
        <v>2017</v>
      </c>
      <c r="B38" t="s">
        <v>45</v>
      </c>
      <c r="C38" s="17">
        <v>2.9000000000000001E-2</v>
      </c>
      <c r="D38" s="17">
        <v>2.5999999999999999E-2</v>
      </c>
      <c r="E38" s="17">
        <v>3.3000000000000002E-2</v>
      </c>
      <c r="F38" s="16">
        <v>584.70000000000005</v>
      </c>
      <c r="G38">
        <v>523.29999999999995</v>
      </c>
      <c r="H38" s="18">
        <v>650.6</v>
      </c>
    </row>
    <row r="39" spans="1:8" x14ac:dyDescent="0.35">
      <c r="A39" s="174">
        <v>2017</v>
      </c>
      <c r="B39" t="s">
        <v>46</v>
      </c>
      <c r="C39" s="17">
        <v>2.3E-2</v>
      </c>
      <c r="D39" s="17">
        <v>0.02</v>
      </c>
      <c r="E39" s="17">
        <v>2.5000000000000001E-2</v>
      </c>
      <c r="F39" s="16">
        <v>420.3</v>
      </c>
      <c r="G39">
        <v>372.6</v>
      </c>
      <c r="H39" s="18">
        <v>471</v>
      </c>
    </row>
    <row r="40" spans="1:8" x14ac:dyDescent="0.35">
      <c r="A40" s="174">
        <v>2018</v>
      </c>
      <c r="B40" t="s">
        <v>45</v>
      </c>
      <c r="C40" s="17">
        <v>0.03</v>
      </c>
      <c r="D40" s="17">
        <v>2.7E-2</v>
      </c>
      <c r="E40" s="17">
        <v>3.4000000000000002E-2</v>
      </c>
      <c r="F40" s="16">
        <v>602.79999999999995</v>
      </c>
      <c r="G40">
        <v>540.20000000000005</v>
      </c>
      <c r="H40" s="18">
        <v>672.2</v>
      </c>
    </row>
    <row r="41" spans="1:8" x14ac:dyDescent="0.35">
      <c r="A41" s="174">
        <v>2018</v>
      </c>
      <c r="B41" t="s">
        <v>46</v>
      </c>
      <c r="C41" s="17">
        <v>2.3E-2</v>
      </c>
      <c r="D41" s="17">
        <v>0.02</v>
      </c>
      <c r="E41" s="17">
        <v>2.5999999999999999E-2</v>
      </c>
      <c r="F41" s="16">
        <v>429.9</v>
      </c>
      <c r="G41">
        <v>381.7</v>
      </c>
      <c r="H41" s="18">
        <v>481.9</v>
      </c>
    </row>
    <row r="42" spans="1:8" x14ac:dyDescent="0.35">
      <c r="A42" s="174">
        <v>2019</v>
      </c>
      <c r="B42" t="s">
        <v>45</v>
      </c>
      <c r="C42" s="17">
        <v>3.2000000000000001E-2</v>
      </c>
      <c r="D42" s="17">
        <v>2.9000000000000001E-2</v>
      </c>
      <c r="E42" s="17">
        <v>3.5999999999999997E-2</v>
      </c>
      <c r="F42" s="16">
        <v>641.1</v>
      </c>
      <c r="G42">
        <v>574.20000000000005</v>
      </c>
      <c r="H42" s="18">
        <v>714.3</v>
      </c>
    </row>
    <row r="43" spans="1:8" x14ac:dyDescent="0.35">
      <c r="A43" s="175">
        <v>2019</v>
      </c>
      <c r="B43" s="10" t="s">
        <v>46</v>
      </c>
      <c r="C43" s="20">
        <v>2.4E-2</v>
      </c>
      <c r="D43" s="20">
        <v>2.1000000000000001E-2</v>
      </c>
      <c r="E43" s="20">
        <v>2.7E-2</v>
      </c>
      <c r="F43" s="19">
        <v>448.9</v>
      </c>
      <c r="G43" s="10">
        <v>398.8</v>
      </c>
      <c r="H43" s="21">
        <v>503.9</v>
      </c>
    </row>
    <row r="45" spans="1:8" x14ac:dyDescent="0.35">
      <c r="A45" s="172" t="s">
        <v>38</v>
      </c>
    </row>
    <row r="47" spans="1:8" x14ac:dyDescent="0.35">
      <c r="A47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L24"/>
  <sheetViews>
    <sheetView workbookViewId="0"/>
  </sheetViews>
  <sheetFormatPr defaultColWidth="10.90625" defaultRowHeight="14.5" x14ac:dyDescent="0.35"/>
  <cols>
    <col min="1" max="1" width="30.7265625" customWidth="1"/>
    <col min="2" max="2" width="8.7265625" customWidth="1"/>
    <col min="3" max="12" width="9.7265625" customWidth="1"/>
  </cols>
  <sheetData>
    <row r="1" spans="1:12" x14ac:dyDescent="0.35">
      <c r="A1" t="s">
        <v>228</v>
      </c>
    </row>
    <row r="3" spans="1:12" x14ac:dyDescent="0.35">
      <c r="A3" s="5" t="s">
        <v>229</v>
      </c>
      <c r="B3" s="4" t="s">
        <v>93</v>
      </c>
      <c r="C3" s="4" t="s">
        <v>96</v>
      </c>
      <c r="D3" s="4" t="s">
        <v>97</v>
      </c>
      <c r="E3" s="4" t="s">
        <v>98</v>
      </c>
      <c r="F3" s="4" t="s">
        <v>99</v>
      </c>
      <c r="G3" s="4" t="s">
        <v>100</v>
      </c>
      <c r="H3" s="4" t="s">
        <v>101</v>
      </c>
      <c r="I3" s="4" t="s">
        <v>102</v>
      </c>
      <c r="J3" s="4" t="s">
        <v>103</v>
      </c>
      <c r="K3" s="4" t="s">
        <v>104</v>
      </c>
      <c r="L3" s="6" t="s">
        <v>105</v>
      </c>
    </row>
    <row r="4" spans="1:12" x14ac:dyDescent="0.35">
      <c r="A4" s="2" t="s">
        <v>225</v>
      </c>
      <c r="B4" s="183">
        <v>247.94</v>
      </c>
      <c r="C4" s="183">
        <v>273.42</v>
      </c>
      <c r="D4" s="183">
        <v>300.47000000000003</v>
      </c>
      <c r="E4" s="183">
        <v>326.48</v>
      </c>
      <c r="F4" s="183">
        <v>351.93</v>
      </c>
      <c r="G4" s="183">
        <v>379.69</v>
      </c>
      <c r="H4" s="183">
        <v>417.82</v>
      </c>
      <c r="I4" s="183">
        <v>421.55</v>
      </c>
      <c r="J4" s="183">
        <v>476.24</v>
      </c>
      <c r="K4" s="183">
        <v>538.86</v>
      </c>
      <c r="L4" s="187">
        <v>593.69000000000005</v>
      </c>
    </row>
    <row r="5" spans="1:12" x14ac:dyDescent="0.35">
      <c r="A5" s="2" t="s">
        <v>226</v>
      </c>
      <c r="B5" s="183">
        <v>126.79</v>
      </c>
      <c r="C5" s="183">
        <v>166.25</v>
      </c>
      <c r="D5" s="183">
        <v>201.21</v>
      </c>
      <c r="E5" s="183">
        <v>237.08</v>
      </c>
      <c r="F5" s="183">
        <v>273.54000000000002</v>
      </c>
      <c r="G5" s="183">
        <v>317.02</v>
      </c>
      <c r="H5" s="183">
        <v>362.8</v>
      </c>
      <c r="I5" s="183">
        <v>369.59</v>
      </c>
      <c r="J5" s="183">
        <v>418.89</v>
      </c>
      <c r="K5" s="183">
        <v>466.61</v>
      </c>
      <c r="L5" s="187">
        <v>518.46</v>
      </c>
    </row>
    <row r="6" spans="1:12" x14ac:dyDescent="0.35">
      <c r="A6" s="2" t="s">
        <v>227</v>
      </c>
      <c r="B6" s="183">
        <v>145.36000000000001</v>
      </c>
      <c r="C6" s="183">
        <v>159.41999999999999</v>
      </c>
      <c r="D6" s="183">
        <v>174.76</v>
      </c>
      <c r="E6" s="183">
        <v>189.43</v>
      </c>
      <c r="F6" s="183">
        <v>199.93</v>
      </c>
      <c r="G6" s="183">
        <v>209.83</v>
      </c>
      <c r="H6" s="183">
        <v>225.29</v>
      </c>
      <c r="I6" s="183">
        <v>227.27</v>
      </c>
      <c r="J6" s="183">
        <v>245.03</v>
      </c>
      <c r="K6" s="183">
        <v>267.51</v>
      </c>
      <c r="L6" s="187">
        <v>289.48</v>
      </c>
    </row>
    <row r="7" spans="1:12" x14ac:dyDescent="0.35">
      <c r="A7" s="2" t="s">
        <v>221</v>
      </c>
      <c r="B7" s="183">
        <v>140.58000000000001</v>
      </c>
      <c r="C7" s="183">
        <v>146.54</v>
      </c>
      <c r="D7" s="183">
        <v>150.11000000000001</v>
      </c>
      <c r="E7" s="183">
        <v>154.19999999999999</v>
      </c>
      <c r="F7" s="183">
        <v>156.79</v>
      </c>
      <c r="G7" s="183">
        <v>161.44999999999999</v>
      </c>
      <c r="H7" s="183">
        <v>146.44</v>
      </c>
      <c r="I7" s="183">
        <v>146.31</v>
      </c>
      <c r="J7" s="183">
        <v>165.27</v>
      </c>
      <c r="K7" s="183">
        <v>179.83</v>
      </c>
      <c r="L7" s="187">
        <v>191.61</v>
      </c>
    </row>
    <row r="8" spans="1:12" x14ac:dyDescent="0.35">
      <c r="A8" s="2" t="s">
        <v>222</v>
      </c>
      <c r="B8" s="183">
        <v>196.76</v>
      </c>
      <c r="C8" s="183">
        <v>198.67</v>
      </c>
      <c r="D8" s="183">
        <v>195.17</v>
      </c>
      <c r="E8" s="183">
        <v>191.12</v>
      </c>
      <c r="F8" s="183">
        <v>190.71</v>
      </c>
      <c r="G8" s="183">
        <v>186.95</v>
      </c>
      <c r="H8" s="183">
        <v>192.39</v>
      </c>
      <c r="I8" s="183">
        <v>175.04</v>
      </c>
      <c r="J8" s="183">
        <v>177.26</v>
      </c>
      <c r="K8" s="183">
        <v>174.15</v>
      </c>
      <c r="L8" s="187">
        <v>170.89</v>
      </c>
    </row>
    <row r="9" spans="1:12" x14ac:dyDescent="0.35">
      <c r="A9" s="2" t="s">
        <v>223</v>
      </c>
      <c r="B9" s="183">
        <v>118.08</v>
      </c>
      <c r="C9" s="183">
        <v>119.1</v>
      </c>
      <c r="D9" s="183">
        <v>124.88</v>
      </c>
      <c r="E9" s="183">
        <v>129.57</v>
      </c>
      <c r="F9" s="183">
        <v>132.4</v>
      </c>
      <c r="G9" s="183">
        <v>134.85</v>
      </c>
      <c r="H9" s="183">
        <v>138.22999999999999</v>
      </c>
      <c r="I9" s="183">
        <v>135.56</v>
      </c>
      <c r="J9" s="183">
        <v>141.27000000000001</v>
      </c>
      <c r="K9" s="183">
        <v>144.69999999999999</v>
      </c>
      <c r="L9" s="187">
        <v>143.46</v>
      </c>
    </row>
    <row r="10" spans="1:12" x14ac:dyDescent="0.35">
      <c r="A10" s="2" t="s">
        <v>230</v>
      </c>
      <c r="B10" s="183">
        <v>0.03</v>
      </c>
      <c r="C10" s="183">
        <v>0.02</v>
      </c>
      <c r="D10" s="183">
        <v>0.02</v>
      </c>
      <c r="E10" s="183">
        <v>0.16</v>
      </c>
      <c r="F10" s="183">
        <v>0.28000000000000003</v>
      </c>
      <c r="G10" s="183">
        <v>0.41</v>
      </c>
      <c r="H10" s="183">
        <v>0.46</v>
      </c>
      <c r="I10" s="183">
        <v>46.46</v>
      </c>
      <c r="J10" s="183">
        <v>77.5</v>
      </c>
      <c r="K10" s="183">
        <v>96.14</v>
      </c>
      <c r="L10" s="187">
        <v>109.59</v>
      </c>
    </row>
    <row r="11" spans="1:12" x14ac:dyDescent="0.35">
      <c r="A11" s="2" t="s">
        <v>231</v>
      </c>
      <c r="B11" s="183">
        <v>82.5</v>
      </c>
      <c r="C11" s="183">
        <v>86.44</v>
      </c>
      <c r="D11" s="183">
        <v>83.07</v>
      </c>
      <c r="E11" s="183">
        <v>81.27</v>
      </c>
      <c r="F11" s="183">
        <v>78.709999999999994</v>
      </c>
      <c r="G11" s="183">
        <v>77.489999999999995</v>
      </c>
      <c r="H11" s="183">
        <v>75.599999999999994</v>
      </c>
      <c r="I11" s="183">
        <v>65.81</v>
      </c>
      <c r="J11" s="183">
        <v>67.78</v>
      </c>
      <c r="K11" s="183">
        <v>65.5</v>
      </c>
      <c r="L11" s="187">
        <v>64.19</v>
      </c>
    </row>
    <row r="12" spans="1:12" x14ac:dyDescent="0.35">
      <c r="A12" s="2" t="s">
        <v>232</v>
      </c>
      <c r="B12" s="183">
        <v>0</v>
      </c>
      <c r="C12" s="183">
        <v>0.01</v>
      </c>
      <c r="D12" s="183">
        <v>0.03</v>
      </c>
      <c r="E12" s="183">
        <v>0.04</v>
      </c>
      <c r="F12" s="183">
        <v>0.04</v>
      </c>
      <c r="G12" s="183">
        <v>0.04</v>
      </c>
      <c r="H12" s="183">
        <v>0.04</v>
      </c>
      <c r="I12" s="183">
        <v>16.91</v>
      </c>
      <c r="J12" s="183">
        <v>26.21</v>
      </c>
      <c r="K12" s="183">
        <v>35.36</v>
      </c>
      <c r="L12" s="187">
        <v>41.47</v>
      </c>
    </row>
    <row r="13" spans="1:12" x14ac:dyDescent="0.35">
      <c r="A13" s="2" t="s">
        <v>233</v>
      </c>
      <c r="B13" s="183">
        <v>52.87</v>
      </c>
      <c r="C13" s="183">
        <v>51.94</v>
      </c>
      <c r="D13" s="183">
        <v>49.97</v>
      </c>
      <c r="E13" s="183">
        <v>46.7</v>
      </c>
      <c r="F13" s="183">
        <v>44.21</v>
      </c>
      <c r="G13" s="183">
        <v>42.26</v>
      </c>
      <c r="H13" s="183">
        <v>40.520000000000003</v>
      </c>
      <c r="I13" s="183">
        <v>37.5</v>
      </c>
      <c r="J13" s="183">
        <v>36.9</v>
      </c>
      <c r="K13" s="183">
        <v>35.729999999999997</v>
      </c>
      <c r="L13" s="187">
        <v>34.619999999999997</v>
      </c>
    </row>
    <row r="14" spans="1:12" x14ac:dyDescent="0.35">
      <c r="A14" s="2" t="s">
        <v>234</v>
      </c>
      <c r="B14" s="183">
        <v>8.44</v>
      </c>
      <c r="C14" s="183">
        <v>9.11</v>
      </c>
      <c r="D14" s="183">
        <v>11.26</v>
      </c>
      <c r="E14" s="183">
        <v>12.55</v>
      </c>
      <c r="F14" s="183">
        <v>12.6</v>
      </c>
      <c r="G14" s="183">
        <v>12.94</v>
      </c>
      <c r="H14" s="183">
        <v>13.93</v>
      </c>
      <c r="I14" s="183">
        <v>12.37</v>
      </c>
      <c r="J14" s="183">
        <v>14.29</v>
      </c>
      <c r="K14" s="183">
        <v>16.75</v>
      </c>
      <c r="L14" s="187">
        <v>13.85</v>
      </c>
    </row>
    <row r="15" spans="1:12" x14ac:dyDescent="0.35">
      <c r="A15" s="2" t="s">
        <v>235</v>
      </c>
      <c r="B15" s="183">
        <v>54.22</v>
      </c>
      <c r="C15" s="183">
        <v>55.57</v>
      </c>
      <c r="D15" s="183">
        <v>56.55</v>
      </c>
      <c r="E15" s="183">
        <v>56.14</v>
      </c>
      <c r="F15" s="183">
        <v>53.62</v>
      </c>
      <c r="G15" s="183">
        <v>51.24</v>
      </c>
      <c r="H15" s="183">
        <v>49.59</v>
      </c>
      <c r="I15" s="183">
        <v>44.74</v>
      </c>
      <c r="J15" s="183">
        <v>45.64</v>
      </c>
      <c r="K15" s="183">
        <v>0.12</v>
      </c>
      <c r="L15" s="187">
        <v>0.09</v>
      </c>
    </row>
    <row r="16" spans="1:12" x14ac:dyDescent="0.35">
      <c r="A16" s="2" t="s">
        <v>224</v>
      </c>
      <c r="B16" s="183">
        <v>19.39</v>
      </c>
      <c r="C16" s="183">
        <v>18.73</v>
      </c>
      <c r="D16" s="183">
        <v>24.54</v>
      </c>
      <c r="E16" s="183">
        <v>23.97</v>
      </c>
      <c r="F16" s="183">
        <v>25.44</v>
      </c>
      <c r="G16" s="183">
        <v>25.37</v>
      </c>
      <c r="H16" s="183">
        <v>27.22</v>
      </c>
      <c r="I16" s="183">
        <v>27.05</v>
      </c>
      <c r="J16" s="183">
        <v>26.11</v>
      </c>
      <c r="K16" s="183">
        <v>24.73</v>
      </c>
      <c r="L16" s="187">
        <v>25.88</v>
      </c>
    </row>
    <row r="17" spans="1:12" x14ac:dyDescent="0.35">
      <c r="A17" s="8" t="s">
        <v>236</v>
      </c>
      <c r="B17" s="184">
        <v>953.78</v>
      </c>
      <c r="C17" s="184">
        <v>1025.18</v>
      </c>
      <c r="D17" s="184">
        <v>1091.33</v>
      </c>
      <c r="E17" s="184">
        <v>1153.92</v>
      </c>
      <c r="F17" s="184">
        <v>1213.52</v>
      </c>
      <c r="G17" s="184">
        <v>1282.1300000000001</v>
      </c>
      <c r="H17" s="184">
        <v>1353.99</v>
      </c>
      <c r="I17" s="184">
        <v>1379.74</v>
      </c>
      <c r="J17" s="184">
        <v>1518.88</v>
      </c>
      <c r="K17" s="184">
        <v>1619.34</v>
      </c>
      <c r="L17" s="188">
        <v>1740.67</v>
      </c>
    </row>
    <row r="19" spans="1:12" x14ac:dyDescent="0.35">
      <c r="A19" t="s">
        <v>63</v>
      </c>
    </row>
    <row r="21" spans="1:12" x14ac:dyDescent="0.35">
      <c r="A21" t="s">
        <v>191</v>
      </c>
    </row>
    <row r="22" spans="1:12" x14ac:dyDescent="0.35">
      <c r="A22" t="s">
        <v>192</v>
      </c>
    </row>
    <row r="24" spans="1:12" x14ac:dyDescent="0.3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87"/>
  <sheetViews>
    <sheetView workbookViewId="0"/>
  </sheetViews>
  <sheetFormatPr defaultColWidth="10.90625" defaultRowHeight="14.5" x14ac:dyDescent="0.35"/>
  <cols>
    <col min="1" max="1" width="6.7265625" style="172" customWidth="1"/>
    <col min="2" max="2" width="29.7265625" customWidth="1"/>
    <col min="3" max="3" width="25.7265625" customWidth="1"/>
  </cols>
  <sheetData>
    <row r="1" spans="1:3" x14ac:dyDescent="0.35">
      <c r="A1" s="172" t="s">
        <v>237</v>
      </c>
    </row>
    <row r="3" spans="1:3" x14ac:dyDescent="0.35">
      <c r="A3" s="173" t="s">
        <v>1</v>
      </c>
      <c r="B3" s="4" t="s">
        <v>220</v>
      </c>
      <c r="C3" s="6" t="s">
        <v>206</v>
      </c>
    </row>
    <row r="4" spans="1:3" x14ac:dyDescent="0.35">
      <c r="A4" s="174">
        <v>2013</v>
      </c>
      <c r="B4" t="s">
        <v>233</v>
      </c>
      <c r="C4" s="96">
        <v>2.2000000000000002</v>
      </c>
    </row>
    <row r="5" spans="1:3" x14ac:dyDescent="0.35">
      <c r="A5" s="174">
        <v>2013</v>
      </c>
      <c r="B5" t="s">
        <v>221</v>
      </c>
      <c r="C5" s="96">
        <v>2.85</v>
      </c>
    </row>
    <row r="6" spans="1:3" x14ac:dyDescent="0.35">
      <c r="A6" s="174">
        <v>2013</v>
      </c>
      <c r="B6" t="s">
        <v>234</v>
      </c>
      <c r="C6" s="96">
        <v>0.84</v>
      </c>
    </row>
    <row r="7" spans="1:3" x14ac:dyDescent="0.35">
      <c r="A7" s="174">
        <v>2013</v>
      </c>
      <c r="B7" t="s">
        <v>222</v>
      </c>
      <c r="C7" s="96">
        <v>0.69</v>
      </c>
    </row>
    <row r="8" spans="1:3" x14ac:dyDescent="0.35">
      <c r="A8" s="174">
        <v>2013</v>
      </c>
      <c r="B8" t="s">
        <v>223</v>
      </c>
      <c r="C8" s="96">
        <v>0.59</v>
      </c>
    </row>
    <row r="9" spans="1:3" x14ac:dyDescent="0.35">
      <c r="A9" s="174">
        <v>2013</v>
      </c>
      <c r="B9" t="s">
        <v>224</v>
      </c>
      <c r="C9" s="96">
        <v>1.3</v>
      </c>
    </row>
    <row r="10" spans="1:3" x14ac:dyDescent="0.35">
      <c r="A10" s="174">
        <v>2013</v>
      </c>
      <c r="B10" t="s">
        <v>225</v>
      </c>
      <c r="C10" s="96">
        <v>9.26</v>
      </c>
    </row>
    <row r="11" spans="1:3" x14ac:dyDescent="0.35">
      <c r="A11" s="174">
        <v>2014</v>
      </c>
      <c r="B11" t="s">
        <v>233</v>
      </c>
      <c r="C11" s="96">
        <v>2.2599999999999998</v>
      </c>
    </row>
    <row r="12" spans="1:3" x14ac:dyDescent="0.35">
      <c r="A12" s="174">
        <v>2014</v>
      </c>
      <c r="B12" t="s">
        <v>221</v>
      </c>
      <c r="C12" s="96">
        <v>3.54</v>
      </c>
    </row>
    <row r="13" spans="1:3" x14ac:dyDescent="0.35">
      <c r="A13" s="174">
        <v>2014</v>
      </c>
      <c r="B13" t="s">
        <v>234</v>
      </c>
      <c r="C13" s="96">
        <v>1.04</v>
      </c>
    </row>
    <row r="14" spans="1:3" x14ac:dyDescent="0.35">
      <c r="A14" s="174">
        <v>2014</v>
      </c>
      <c r="B14" t="s">
        <v>222</v>
      </c>
      <c r="C14" s="96">
        <v>0.73</v>
      </c>
    </row>
    <row r="15" spans="1:3" x14ac:dyDescent="0.35">
      <c r="A15" s="174">
        <v>2014</v>
      </c>
      <c r="B15" t="s">
        <v>223</v>
      </c>
      <c r="C15" s="96">
        <v>0.62</v>
      </c>
    </row>
    <row r="16" spans="1:3" x14ac:dyDescent="0.35">
      <c r="A16" s="174">
        <v>2014</v>
      </c>
      <c r="B16" t="s">
        <v>224</v>
      </c>
      <c r="C16" s="96">
        <v>1.43</v>
      </c>
    </row>
    <row r="17" spans="1:3" x14ac:dyDescent="0.35">
      <c r="A17" s="174">
        <v>2014</v>
      </c>
      <c r="B17" t="s">
        <v>225</v>
      </c>
      <c r="C17" s="96">
        <v>11.13</v>
      </c>
    </row>
    <row r="18" spans="1:3" x14ac:dyDescent="0.35">
      <c r="A18" s="174">
        <v>2015</v>
      </c>
      <c r="B18" t="s">
        <v>233</v>
      </c>
      <c r="C18" s="96">
        <v>2.29</v>
      </c>
    </row>
    <row r="19" spans="1:3" x14ac:dyDescent="0.35">
      <c r="A19" s="174">
        <v>2015</v>
      </c>
      <c r="B19" t="s">
        <v>221</v>
      </c>
      <c r="C19" s="96">
        <v>4.03</v>
      </c>
    </row>
    <row r="20" spans="1:3" x14ac:dyDescent="0.35">
      <c r="A20" s="174">
        <v>2015</v>
      </c>
      <c r="B20" t="s">
        <v>234</v>
      </c>
      <c r="C20" s="96">
        <v>1.25</v>
      </c>
    </row>
    <row r="21" spans="1:3" x14ac:dyDescent="0.35">
      <c r="A21" s="174">
        <v>2015</v>
      </c>
      <c r="B21" t="s">
        <v>222</v>
      </c>
      <c r="C21" s="96">
        <v>0.76</v>
      </c>
    </row>
    <row r="22" spans="1:3" x14ac:dyDescent="0.35">
      <c r="A22" s="174">
        <v>2015</v>
      </c>
      <c r="B22" t="s">
        <v>223</v>
      </c>
      <c r="C22" s="96">
        <v>0.61</v>
      </c>
    </row>
    <row r="23" spans="1:3" x14ac:dyDescent="0.35">
      <c r="A23" s="174">
        <v>2015</v>
      </c>
      <c r="B23" t="s">
        <v>224</v>
      </c>
      <c r="C23" s="96">
        <v>1.65</v>
      </c>
    </row>
    <row r="24" spans="1:3" x14ac:dyDescent="0.35">
      <c r="A24" s="174">
        <v>2015</v>
      </c>
      <c r="B24" t="s">
        <v>225</v>
      </c>
      <c r="C24" s="96">
        <v>12.97</v>
      </c>
    </row>
    <row r="25" spans="1:3" x14ac:dyDescent="0.35">
      <c r="A25" s="174">
        <v>2016</v>
      </c>
      <c r="B25" t="s">
        <v>233</v>
      </c>
      <c r="C25" s="96">
        <v>2.12</v>
      </c>
    </row>
    <row r="26" spans="1:3" x14ac:dyDescent="0.35">
      <c r="A26" s="174">
        <v>2016</v>
      </c>
      <c r="B26" t="s">
        <v>221</v>
      </c>
      <c r="C26" s="96">
        <v>4.68</v>
      </c>
    </row>
    <row r="27" spans="1:3" x14ac:dyDescent="0.35">
      <c r="A27" s="174">
        <v>2016</v>
      </c>
      <c r="B27" t="s">
        <v>234</v>
      </c>
      <c r="C27" s="96">
        <v>1.51</v>
      </c>
    </row>
    <row r="28" spans="1:3" x14ac:dyDescent="0.35">
      <c r="A28" s="174">
        <v>2016</v>
      </c>
      <c r="B28" t="s">
        <v>222</v>
      </c>
      <c r="C28" s="96">
        <v>0.87</v>
      </c>
    </row>
    <row r="29" spans="1:3" x14ac:dyDescent="0.35">
      <c r="A29" s="174">
        <v>2016</v>
      </c>
      <c r="B29" t="s">
        <v>223</v>
      </c>
      <c r="C29" s="96">
        <v>0.69</v>
      </c>
    </row>
    <row r="30" spans="1:3" x14ac:dyDescent="0.35">
      <c r="A30" s="174">
        <v>2016</v>
      </c>
      <c r="B30" t="s">
        <v>224</v>
      </c>
      <c r="C30" s="96">
        <v>1.89</v>
      </c>
    </row>
    <row r="31" spans="1:3" x14ac:dyDescent="0.35">
      <c r="A31" s="174">
        <v>2016</v>
      </c>
      <c r="B31" t="s">
        <v>225</v>
      </c>
      <c r="C31" s="96">
        <v>14.81</v>
      </c>
    </row>
    <row r="32" spans="1:3" x14ac:dyDescent="0.35">
      <c r="A32" s="174">
        <v>2017</v>
      </c>
      <c r="B32" t="s">
        <v>233</v>
      </c>
      <c r="C32" s="96">
        <v>2.1</v>
      </c>
    </row>
    <row r="33" spans="1:3" x14ac:dyDescent="0.35">
      <c r="A33" s="174">
        <v>2017</v>
      </c>
      <c r="B33" t="s">
        <v>221</v>
      </c>
      <c r="C33" s="96">
        <v>6.22</v>
      </c>
    </row>
    <row r="34" spans="1:3" x14ac:dyDescent="0.35">
      <c r="A34" s="174">
        <v>2017</v>
      </c>
      <c r="B34" t="s">
        <v>234</v>
      </c>
      <c r="C34" s="96">
        <v>1.7</v>
      </c>
    </row>
    <row r="35" spans="1:3" x14ac:dyDescent="0.35">
      <c r="A35" s="174">
        <v>2017</v>
      </c>
      <c r="B35" t="s">
        <v>222</v>
      </c>
      <c r="C35" s="96">
        <v>0.94</v>
      </c>
    </row>
    <row r="36" spans="1:3" x14ac:dyDescent="0.35">
      <c r="A36" s="174">
        <v>2017</v>
      </c>
      <c r="B36" t="s">
        <v>224</v>
      </c>
      <c r="C36" s="96">
        <v>2.16</v>
      </c>
    </row>
    <row r="37" spans="1:3" x14ac:dyDescent="0.35">
      <c r="A37" s="174">
        <v>2017</v>
      </c>
      <c r="B37" t="s">
        <v>225</v>
      </c>
      <c r="C37" s="96">
        <v>17.190000000000001</v>
      </c>
    </row>
    <row r="38" spans="1:3" x14ac:dyDescent="0.35">
      <c r="A38" s="174">
        <v>2017</v>
      </c>
      <c r="B38" t="s">
        <v>226</v>
      </c>
      <c r="C38" s="96">
        <v>0.87</v>
      </c>
    </row>
    <row r="39" spans="1:3" x14ac:dyDescent="0.35">
      <c r="A39" s="174">
        <v>2018</v>
      </c>
      <c r="B39" t="s">
        <v>233</v>
      </c>
      <c r="C39" s="96">
        <v>2.16</v>
      </c>
    </row>
    <row r="40" spans="1:3" x14ac:dyDescent="0.35">
      <c r="A40" s="174">
        <v>2018</v>
      </c>
      <c r="B40" t="s">
        <v>221</v>
      </c>
      <c r="C40" s="96">
        <v>8.4700000000000006</v>
      </c>
    </row>
    <row r="41" spans="1:3" x14ac:dyDescent="0.35">
      <c r="A41" s="174">
        <v>2018</v>
      </c>
      <c r="B41" t="s">
        <v>234</v>
      </c>
      <c r="C41" s="96">
        <v>2.0299999999999998</v>
      </c>
    </row>
    <row r="42" spans="1:3" x14ac:dyDescent="0.35">
      <c r="A42" s="174">
        <v>2018</v>
      </c>
      <c r="B42" t="s">
        <v>222</v>
      </c>
      <c r="C42" s="96">
        <v>1.25</v>
      </c>
    </row>
    <row r="43" spans="1:3" x14ac:dyDescent="0.35">
      <c r="A43" s="174">
        <v>2018</v>
      </c>
      <c r="B43" t="s">
        <v>224</v>
      </c>
      <c r="C43" s="96">
        <v>2.8</v>
      </c>
    </row>
    <row r="44" spans="1:3" x14ac:dyDescent="0.35">
      <c r="A44" s="174">
        <v>2018</v>
      </c>
      <c r="B44" t="s">
        <v>225</v>
      </c>
      <c r="C44" s="96">
        <v>20.86</v>
      </c>
    </row>
    <row r="45" spans="1:3" x14ac:dyDescent="0.35">
      <c r="A45" s="174">
        <v>2018</v>
      </c>
      <c r="B45" t="s">
        <v>226</v>
      </c>
      <c r="C45" s="96">
        <v>1.31</v>
      </c>
    </row>
    <row r="46" spans="1:3" x14ac:dyDescent="0.35">
      <c r="A46" s="174">
        <v>2019</v>
      </c>
      <c r="B46" t="s">
        <v>233</v>
      </c>
      <c r="C46" s="96">
        <v>2.2400000000000002</v>
      </c>
    </row>
    <row r="47" spans="1:3" x14ac:dyDescent="0.35">
      <c r="A47" s="174">
        <v>2019</v>
      </c>
      <c r="B47" t="s">
        <v>221</v>
      </c>
      <c r="C47" s="96">
        <v>9.68</v>
      </c>
    </row>
    <row r="48" spans="1:3" x14ac:dyDescent="0.35">
      <c r="A48" s="174">
        <v>2019</v>
      </c>
      <c r="B48" t="s">
        <v>234</v>
      </c>
      <c r="C48" s="96">
        <v>2.42</v>
      </c>
    </row>
    <row r="49" spans="1:3" x14ac:dyDescent="0.35">
      <c r="A49" s="174">
        <v>2019</v>
      </c>
      <c r="B49" t="s">
        <v>224</v>
      </c>
      <c r="C49" s="96">
        <v>3.38</v>
      </c>
    </row>
    <row r="50" spans="1:3" x14ac:dyDescent="0.35">
      <c r="A50" s="174">
        <v>2019</v>
      </c>
      <c r="B50" t="s">
        <v>225</v>
      </c>
      <c r="C50" s="96">
        <v>24.45</v>
      </c>
    </row>
    <row r="51" spans="1:3" x14ac:dyDescent="0.35">
      <c r="A51" s="174">
        <v>2019</v>
      </c>
      <c r="B51" t="s">
        <v>226</v>
      </c>
      <c r="C51" s="96">
        <v>1.64</v>
      </c>
    </row>
    <row r="52" spans="1:3" x14ac:dyDescent="0.35">
      <c r="A52" s="174">
        <v>2019</v>
      </c>
      <c r="B52" t="s">
        <v>227</v>
      </c>
      <c r="C52" s="96">
        <v>1.53</v>
      </c>
    </row>
    <row r="53" spans="1:3" x14ac:dyDescent="0.35">
      <c r="A53" s="174">
        <v>2020</v>
      </c>
      <c r="B53" t="s">
        <v>233</v>
      </c>
      <c r="C53" s="96">
        <v>1.84</v>
      </c>
    </row>
    <row r="54" spans="1:3" x14ac:dyDescent="0.35">
      <c r="A54" s="174">
        <v>2020</v>
      </c>
      <c r="B54" t="s">
        <v>221</v>
      </c>
      <c r="C54" s="96">
        <v>10.73</v>
      </c>
    </row>
    <row r="55" spans="1:3" x14ac:dyDescent="0.35">
      <c r="A55" s="174">
        <v>2020</v>
      </c>
      <c r="B55" t="s">
        <v>234</v>
      </c>
      <c r="C55" s="96">
        <v>2.1</v>
      </c>
    </row>
    <row r="56" spans="1:3" x14ac:dyDescent="0.35">
      <c r="A56" s="174">
        <v>2020</v>
      </c>
      <c r="B56" t="s">
        <v>224</v>
      </c>
      <c r="C56" s="96">
        <v>3.63</v>
      </c>
    </row>
    <row r="57" spans="1:3" x14ac:dyDescent="0.35">
      <c r="A57" s="174">
        <v>2020</v>
      </c>
      <c r="B57" t="s">
        <v>225</v>
      </c>
      <c r="C57" s="96">
        <v>24.88</v>
      </c>
    </row>
    <row r="58" spans="1:3" x14ac:dyDescent="0.35">
      <c r="A58" s="174">
        <v>2020</v>
      </c>
      <c r="B58" t="s">
        <v>226</v>
      </c>
      <c r="C58" s="96">
        <v>1.79</v>
      </c>
    </row>
    <row r="59" spans="1:3" x14ac:dyDescent="0.35">
      <c r="A59" s="174">
        <v>2020</v>
      </c>
      <c r="B59" t="s">
        <v>227</v>
      </c>
      <c r="C59" s="96">
        <v>1.95</v>
      </c>
    </row>
    <row r="60" spans="1:3" x14ac:dyDescent="0.35">
      <c r="A60" s="174">
        <v>2021</v>
      </c>
      <c r="B60" t="s">
        <v>233</v>
      </c>
      <c r="C60" s="96">
        <v>2.16</v>
      </c>
    </row>
    <row r="61" spans="1:3" x14ac:dyDescent="0.35">
      <c r="A61" s="174">
        <v>2021</v>
      </c>
      <c r="B61" t="s">
        <v>221</v>
      </c>
      <c r="C61" s="96">
        <v>17.07</v>
      </c>
    </row>
    <row r="62" spans="1:3" x14ac:dyDescent="0.35">
      <c r="A62" s="174">
        <v>2021</v>
      </c>
      <c r="B62" t="s">
        <v>234</v>
      </c>
      <c r="C62" s="96">
        <v>2.99</v>
      </c>
    </row>
    <row r="63" spans="1:3" x14ac:dyDescent="0.35">
      <c r="A63" s="174">
        <v>2021</v>
      </c>
      <c r="B63" t="s">
        <v>224</v>
      </c>
      <c r="C63" s="96">
        <v>4.91</v>
      </c>
    </row>
    <row r="64" spans="1:3" x14ac:dyDescent="0.35">
      <c r="A64" s="174">
        <v>2021</v>
      </c>
      <c r="B64" t="s">
        <v>225</v>
      </c>
      <c r="C64" s="96">
        <v>34.979999999999997</v>
      </c>
    </row>
    <row r="65" spans="1:3" x14ac:dyDescent="0.35">
      <c r="A65" s="174">
        <v>2021</v>
      </c>
      <c r="B65" t="s">
        <v>226</v>
      </c>
      <c r="C65" s="96">
        <v>2.85</v>
      </c>
    </row>
    <row r="66" spans="1:3" x14ac:dyDescent="0.35">
      <c r="A66" s="174">
        <v>2021</v>
      </c>
      <c r="B66" t="s">
        <v>227</v>
      </c>
      <c r="C66" s="96">
        <v>2.85</v>
      </c>
    </row>
    <row r="67" spans="1:3" x14ac:dyDescent="0.35">
      <c r="A67" s="174">
        <v>2022</v>
      </c>
      <c r="B67" t="s">
        <v>221</v>
      </c>
      <c r="C67" s="96">
        <v>24.11</v>
      </c>
    </row>
    <row r="68" spans="1:3" x14ac:dyDescent="0.35">
      <c r="A68" s="174">
        <v>2022</v>
      </c>
      <c r="B68" t="s">
        <v>234</v>
      </c>
      <c r="C68" s="96">
        <v>4.18</v>
      </c>
    </row>
    <row r="69" spans="1:3" x14ac:dyDescent="0.35">
      <c r="A69" s="174">
        <v>2022</v>
      </c>
      <c r="B69" t="s">
        <v>222</v>
      </c>
      <c r="C69" s="96">
        <v>2.66</v>
      </c>
    </row>
    <row r="70" spans="1:3" x14ac:dyDescent="0.35">
      <c r="A70" s="174">
        <v>2022</v>
      </c>
      <c r="B70" t="s">
        <v>224</v>
      </c>
      <c r="C70" s="96">
        <v>6.12</v>
      </c>
    </row>
    <row r="71" spans="1:3" x14ac:dyDescent="0.35">
      <c r="A71" s="174">
        <v>2022</v>
      </c>
      <c r="B71" t="s">
        <v>225</v>
      </c>
      <c r="C71" s="96">
        <v>47.56</v>
      </c>
    </row>
    <row r="72" spans="1:3" x14ac:dyDescent="0.35">
      <c r="A72" s="174">
        <v>2022</v>
      </c>
      <c r="B72" t="s">
        <v>226</v>
      </c>
      <c r="C72" s="96">
        <v>4.32</v>
      </c>
    </row>
    <row r="73" spans="1:3" x14ac:dyDescent="0.35">
      <c r="A73" s="174">
        <v>2022</v>
      </c>
      <c r="B73" t="s">
        <v>227</v>
      </c>
      <c r="C73" s="96">
        <v>4.66</v>
      </c>
    </row>
    <row r="74" spans="1:3" x14ac:dyDescent="0.35">
      <c r="A74" s="174">
        <v>2023</v>
      </c>
      <c r="B74" t="s">
        <v>221</v>
      </c>
      <c r="C74" s="96">
        <v>26.8</v>
      </c>
    </row>
    <row r="75" spans="1:3" x14ac:dyDescent="0.35">
      <c r="A75" s="174">
        <v>2023</v>
      </c>
      <c r="B75" t="s">
        <v>234</v>
      </c>
      <c r="C75" s="96">
        <v>3.5</v>
      </c>
    </row>
    <row r="76" spans="1:3" x14ac:dyDescent="0.35">
      <c r="A76" s="174">
        <v>2023</v>
      </c>
      <c r="B76" t="s">
        <v>222</v>
      </c>
      <c r="C76" s="96">
        <v>2.57</v>
      </c>
    </row>
    <row r="77" spans="1:3" x14ac:dyDescent="0.35">
      <c r="A77" s="174">
        <v>2023</v>
      </c>
      <c r="B77" t="s">
        <v>224</v>
      </c>
      <c r="C77" s="96">
        <v>6.71</v>
      </c>
    </row>
    <row r="78" spans="1:3" x14ac:dyDescent="0.35">
      <c r="A78" s="174">
        <v>2023</v>
      </c>
      <c r="B78" t="s">
        <v>225</v>
      </c>
      <c r="C78" s="96">
        <v>50.85</v>
      </c>
    </row>
    <row r="79" spans="1:3" x14ac:dyDescent="0.35">
      <c r="A79" s="174">
        <v>2023</v>
      </c>
      <c r="B79" t="s">
        <v>226</v>
      </c>
      <c r="C79" s="96">
        <v>5.0999999999999996</v>
      </c>
    </row>
    <row r="80" spans="1:3" x14ac:dyDescent="0.35">
      <c r="A80" s="175">
        <v>2023</v>
      </c>
      <c r="B80" s="10" t="s">
        <v>227</v>
      </c>
      <c r="C80" s="97">
        <v>5.68</v>
      </c>
    </row>
    <row r="82" spans="1:1" x14ac:dyDescent="0.35">
      <c r="A82" s="172" t="s">
        <v>63</v>
      </c>
    </row>
    <row r="84" spans="1:1" x14ac:dyDescent="0.35">
      <c r="A84" s="172" t="s">
        <v>191</v>
      </c>
    </row>
    <row r="85" spans="1:1" x14ac:dyDescent="0.35">
      <c r="A85" s="172" t="s">
        <v>192</v>
      </c>
    </row>
    <row r="87" spans="1:1" x14ac:dyDescent="0.35">
      <c r="A87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87"/>
  <sheetViews>
    <sheetView workbookViewId="0"/>
  </sheetViews>
  <sheetFormatPr defaultColWidth="10.90625" defaultRowHeight="14.5" x14ac:dyDescent="0.35"/>
  <cols>
    <col min="1" max="1" width="6.7265625" style="172" customWidth="1"/>
    <col min="2" max="3" width="29.7265625" customWidth="1"/>
  </cols>
  <sheetData>
    <row r="1" spans="1:3" x14ac:dyDescent="0.35">
      <c r="A1" s="172" t="s">
        <v>238</v>
      </c>
    </row>
    <row r="3" spans="1:3" x14ac:dyDescent="0.35">
      <c r="A3" s="173" t="s">
        <v>1</v>
      </c>
      <c r="B3" s="4" t="s">
        <v>229</v>
      </c>
      <c r="C3" s="6" t="s">
        <v>239</v>
      </c>
    </row>
    <row r="4" spans="1:3" x14ac:dyDescent="0.35">
      <c r="A4" s="174">
        <v>2013</v>
      </c>
      <c r="B4" t="s">
        <v>233</v>
      </c>
      <c r="C4" s="98">
        <v>14.36</v>
      </c>
    </row>
    <row r="5" spans="1:3" x14ac:dyDescent="0.35">
      <c r="A5" s="174">
        <v>2013</v>
      </c>
      <c r="B5" t="s">
        <v>221</v>
      </c>
      <c r="C5" s="98">
        <v>7.65</v>
      </c>
    </row>
    <row r="6" spans="1:3" x14ac:dyDescent="0.35">
      <c r="A6" s="174">
        <v>2013</v>
      </c>
      <c r="B6" t="s">
        <v>222</v>
      </c>
      <c r="C6" s="98">
        <v>19.190000000000001</v>
      </c>
    </row>
    <row r="7" spans="1:3" x14ac:dyDescent="0.35">
      <c r="A7" s="174">
        <v>2013</v>
      </c>
      <c r="B7" t="s">
        <v>223</v>
      </c>
      <c r="C7" s="98">
        <v>6.98</v>
      </c>
    </row>
    <row r="8" spans="1:3" x14ac:dyDescent="0.35">
      <c r="A8" s="174">
        <v>2013</v>
      </c>
      <c r="B8" t="s">
        <v>224</v>
      </c>
      <c r="C8" s="98">
        <v>14.08</v>
      </c>
    </row>
    <row r="9" spans="1:3" x14ac:dyDescent="0.35">
      <c r="A9" s="174">
        <v>2013</v>
      </c>
      <c r="B9" t="s">
        <v>225</v>
      </c>
      <c r="C9" s="98">
        <v>16.59</v>
      </c>
    </row>
    <row r="10" spans="1:3" x14ac:dyDescent="0.35">
      <c r="A10" s="174">
        <v>2013</v>
      </c>
      <c r="B10" t="s">
        <v>227</v>
      </c>
      <c r="C10" s="98">
        <v>21.62</v>
      </c>
    </row>
    <row r="11" spans="1:3" x14ac:dyDescent="0.35">
      <c r="A11" s="174">
        <v>2014</v>
      </c>
      <c r="B11" t="s">
        <v>233</v>
      </c>
      <c r="C11" s="98">
        <v>14.57</v>
      </c>
    </row>
    <row r="12" spans="1:3" x14ac:dyDescent="0.35">
      <c r="A12" s="174">
        <v>2014</v>
      </c>
      <c r="B12" t="s">
        <v>221</v>
      </c>
      <c r="C12" s="98">
        <v>8.1999999999999993</v>
      </c>
    </row>
    <row r="13" spans="1:3" x14ac:dyDescent="0.35">
      <c r="A13" s="174">
        <v>2014</v>
      </c>
      <c r="B13" t="s">
        <v>222</v>
      </c>
      <c r="C13" s="98">
        <v>19.63</v>
      </c>
    </row>
    <row r="14" spans="1:3" x14ac:dyDescent="0.35">
      <c r="A14" s="174">
        <v>2014</v>
      </c>
      <c r="B14" t="s">
        <v>223</v>
      </c>
      <c r="C14" s="98">
        <v>7.21</v>
      </c>
    </row>
    <row r="15" spans="1:3" x14ac:dyDescent="0.35">
      <c r="A15" s="174">
        <v>2014</v>
      </c>
      <c r="B15" t="s">
        <v>224</v>
      </c>
      <c r="C15" s="98">
        <v>15.41</v>
      </c>
    </row>
    <row r="16" spans="1:3" x14ac:dyDescent="0.35">
      <c r="A16" s="174">
        <v>2014</v>
      </c>
      <c r="B16" t="s">
        <v>225</v>
      </c>
      <c r="C16" s="98">
        <v>18.89</v>
      </c>
    </row>
    <row r="17" spans="1:3" x14ac:dyDescent="0.35">
      <c r="A17" s="174">
        <v>2014</v>
      </c>
      <c r="B17" t="s">
        <v>227</v>
      </c>
      <c r="C17" s="98">
        <v>23.28</v>
      </c>
    </row>
    <row r="18" spans="1:3" x14ac:dyDescent="0.35">
      <c r="A18" s="174">
        <v>2015</v>
      </c>
      <c r="B18" t="s">
        <v>233</v>
      </c>
      <c r="C18" s="98">
        <v>14.53</v>
      </c>
    </row>
    <row r="19" spans="1:3" x14ac:dyDescent="0.35">
      <c r="A19" s="174">
        <v>2015</v>
      </c>
      <c r="B19" t="s">
        <v>221</v>
      </c>
      <c r="C19" s="98">
        <v>8.65</v>
      </c>
    </row>
    <row r="20" spans="1:3" x14ac:dyDescent="0.35">
      <c r="A20" s="174">
        <v>2015</v>
      </c>
      <c r="B20" t="s">
        <v>222</v>
      </c>
      <c r="C20" s="98">
        <v>18.87</v>
      </c>
    </row>
    <row r="21" spans="1:3" x14ac:dyDescent="0.35">
      <c r="A21" s="174">
        <v>2015</v>
      </c>
      <c r="B21" t="s">
        <v>223</v>
      </c>
      <c r="C21" s="98">
        <v>7.84</v>
      </c>
    </row>
    <row r="22" spans="1:3" x14ac:dyDescent="0.35">
      <c r="A22" s="174">
        <v>2015</v>
      </c>
      <c r="B22" t="s">
        <v>224</v>
      </c>
      <c r="C22" s="98">
        <v>17.28</v>
      </c>
    </row>
    <row r="23" spans="1:3" x14ac:dyDescent="0.35">
      <c r="A23" s="174">
        <v>2015</v>
      </c>
      <c r="B23" t="s">
        <v>225</v>
      </c>
      <c r="C23" s="98">
        <v>21.26</v>
      </c>
    </row>
    <row r="24" spans="1:3" x14ac:dyDescent="0.35">
      <c r="A24" s="174">
        <v>2015</v>
      </c>
      <c r="B24" t="s">
        <v>227</v>
      </c>
      <c r="C24" s="98">
        <v>27.09</v>
      </c>
    </row>
    <row r="25" spans="1:3" x14ac:dyDescent="0.35">
      <c r="A25" s="174">
        <v>2016</v>
      </c>
      <c r="B25" t="s">
        <v>233</v>
      </c>
      <c r="C25" s="98">
        <v>13.91</v>
      </c>
    </row>
    <row r="26" spans="1:3" x14ac:dyDescent="0.35">
      <c r="A26" s="174">
        <v>2016</v>
      </c>
      <c r="B26" t="s">
        <v>221</v>
      </c>
      <c r="C26" s="98">
        <v>8.84</v>
      </c>
    </row>
    <row r="27" spans="1:3" x14ac:dyDescent="0.35">
      <c r="A27" s="174">
        <v>2016</v>
      </c>
      <c r="B27" t="s">
        <v>222</v>
      </c>
      <c r="C27" s="98">
        <v>17.329999999999998</v>
      </c>
    </row>
    <row r="28" spans="1:3" x14ac:dyDescent="0.35">
      <c r="A28" s="174">
        <v>2016</v>
      </c>
      <c r="B28" t="s">
        <v>224</v>
      </c>
      <c r="C28" s="98">
        <v>17.62</v>
      </c>
    </row>
    <row r="29" spans="1:3" x14ac:dyDescent="0.35">
      <c r="A29" s="174">
        <v>2016</v>
      </c>
      <c r="B29" t="s">
        <v>225</v>
      </c>
      <c r="C29" s="98">
        <v>23.31</v>
      </c>
    </row>
    <row r="30" spans="1:3" x14ac:dyDescent="0.35">
      <c r="A30" s="174">
        <v>2016</v>
      </c>
      <c r="B30" t="s">
        <v>226</v>
      </c>
      <c r="C30" s="98">
        <v>8.4700000000000006</v>
      </c>
    </row>
    <row r="31" spans="1:3" x14ac:dyDescent="0.35">
      <c r="A31" s="174">
        <v>2016</v>
      </c>
      <c r="B31" t="s">
        <v>227</v>
      </c>
      <c r="C31" s="98">
        <v>27.42</v>
      </c>
    </row>
    <row r="32" spans="1:3" x14ac:dyDescent="0.35">
      <c r="A32" s="174">
        <v>2017</v>
      </c>
      <c r="B32" t="s">
        <v>233</v>
      </c>
      <c r="C32" s="98">
        <v>13.46</v>
      </c>
    </row>
    <row r="33" spans="1:3" x14ac:dyDescent="0.35">
      <c r="A33" s="174">
        <v>2017</v>
      </c>
      <c r="B33" t="s">
        <v>221</v>
      </c>
      <c r="C33" s="98">
        <v>9.77</v>
      </c>
    </row>
    <row r="34" spans="1:3" x14ac:dyDescent="0.35">
      <c r="A34" s="174">
        <v>2017</v>
      </c>
      <c r="B34" t="s">
        <v>222</v>
      </c>
      <c r="C34" s="98">
        <v>19.07</v>
      </c>
    </row>
    <row r="35" spans="1:3" x14ac:dyDescent="0.35">
      <c r="A35" s="174">
        <v>2017</v>
      </c>
      <c r="B35" t="s">
        <v>224</v>
      </c>
      <c r="C35" s="98">
        <v>20.45</v>
      </c>
    </row>
    <row r="36" spans="1:3" x14ac:dyDescent="0.35">
      <c r="A36" s="174">
        <v>2017</v>
      </c>
      <c r="B36" t="s">
        <v>225</v>
      </c>
      <c r="C36" s="98">
        <v>27.21</v>
      </c>
    </row>
    <row r="37" spans="1:3" x14ac:dyDescent="0.35">
      <c r="A37" s="174">
        <v>2017</v>
      </c>
      <c r="B37" t="s">
        <v>226</v>
      </c>
      <c r="C37" s="98">
        <v>10.65</v>
      </c>
    </row>
    <row r="38" spans="1:3" x14ac:dyDescent="0.35">
      <c r="A38" s="174">
        <v>2017</v>
      </c>
      <c r="B38" t="s">
        <v>227</v>
      </c>
      <c r="C38" s="98">
        <v>28.71</v>
      </c>
    </row>
    <row r="39" spans="1:3" x14ac:dyDescent="0.35">
      <c r="A39" s="174">
        <v>2018</v>
      </c>
      <c r="B39" t="s">
        <v>233</v>
      </c>
      <c r="C39" s="98">
        <v>12.99</v>
      </c>
    </row>
    <row r="40" spans="1:3" x14ac:dyDescent="0.35">
      <c r="A40" s="174">
        <v>2018</v>
      </c>
      <c r="B40" t="s">
        <v>221</v>
      </c>
      <c r="C40" s="98">
        <v>10.25</v>
      </c>
    </row>
    <row r="41" spans="1:3" x14ac:dyDescent="0.35">
      <c r="A41" s="174">
        <v>2018</v>
      </c>
      <c r="B41" t="s">
        <v>222</v>
      </c>
      <c r="C41" s="98">
        <v>19.98</v>
      </c>
    </row>
    <row r="42" spans="1:3" x14ac:dyDescent="0.35">
      <c r="A42" s="174">
        <v>2018</v>
      </c>
      <c r="B42" t="s">
        <v>224</v>
      </c>
      <c r="C42" s="98">
        <v>21.38</v>
      </c>
    </row>
    <row r="43" spans="1:3" x14ac:dyDescent="0.35">
      <c r="A43" s="174">
        <v>2018</v>
      </c>
      <c r="B43" t="s">
        <v>225</v>
      </c>
      <c r="C43" s="98">
        <v>30.28</v>
      </c>
    </row>
    <row r="44" spans="1:3" x14ac:dyDescent="0.35">
      <c r="A44" s="174">
        <v>2018</v>
      </c>
      <c r="B44" t="s">
        <v>226</v>
      </c>
      <c r="C44" s="98">
        <v>12.02</v>
      </c>
    </row>
    <row r="45" spans="1:3" x14ac:dyDescent="0.35">
      <c r="A45" s="174">
        <v>2018</v>
      </c>
      <c r="B45" t="s">
        <v>227</v>
      </c>
      <c r="C45" s="98">
        <v>29.14</v>
      </c>
    </row>
    <row r="46" spans="1:3" x14ac:dyDescent="0.35">
      <c r="A46" s="174">
        <v>2019</v>
      </c>
      <c r="B46" t="s">
        <v>233</v>
      </c>
      <c r="C46" s="98">
        <v>12.75</v>
      </c>
    </row>
    <row r="47" spans="1:3" x14ac:dyDescent="0.35">
      <c r="A47" s="174">
        <v>2019</v>
      </c>
      <c r="B47" t="s">
        <v>222</v>
      </c>
      <c r="C47" s="98">
        <v>20.16</v>
      </c>
    </row>
    <row r="48" spans="1:3" x14ac:dyDescent="0.35">
      <c r="A48" s="174">
        <v>2019</v>
      </c>
      <c r="B48" t="s">
        <v>223</v>
      </c>
      <c r="C48" s="98">
        <v>9.9700000000000006</v>
      </c>
    </row>
    <row r="49" spans="1:3" x14ac:dyDescent="0.35">
      <c r="A49" s="174">
        <v>2019</v>
      </c>
      <c r="B49" t="s">
        <v>224</v>
      </c>
      <c r="C49" s="98">
        <v>19.239999999999998</v>
      </c>
    </row>
    <row r="50" spans="1:3" x14ac:dyDescent="0.35">
      <c r="A50" s="174">
        <v>2019</v>
      </c>
      <c r="B50" t="s">
        <v>225</v>
      </c>
      <c r="C50" s="98">
        <v>33.93</v>
      </c>
    </row>
    <row r="51" spans="1:3" x14ac:dyDescent="0.35">
      <c r="A51" s="174">
        <v>2019</v>
      </c>
      <c r="B51" t="s">
        <v>226</v>
      </c>
      <c r="C51" s="98">
        <v>14.3</v>
      </c>
    </row>
    <row r="52" spans="1:3" x14ac:dyDescent="0.35">
      <c r="A52" s="174">
        <v>2019</v>
      </c>
      <c r="B52" t="s">
        <v>227</v>
      </c>
      <c r="C52" s="98">
        <v>33.07</v>
      </c>
    </row>
    <row r="53" spans="1:3" x14ac:dyDescent="0.35">
      <c r="A53" s="174">
        <v>2020</v>
      </c>
      <c r="B53" t="s">
        <v>233</v>
      </c>
      <c r="C53" s="98">
        <v>12.51</v>
      </c>
    </row>
    <row r="54" spans="1:3" x14ac:dyDescent="0.35">
      <c r="A54" s="174">
        <v>2020</v>
      </c>
      <c r="B54" t="s">
        <v>222</v>
      </c>
      <c r="C54" s="98">
        <v>19.89</v>
      </c>
    </row>
    <row r="55" spans="1:3" x14ac:dyDescent="0.35">
      <c r="A55" s="174">
        <v>2020</v>
      </c>
      <c r="B55" t="s">
        <v>223</v>
      </c>
      <c r="C55" s="98">
        <v>10.37</v>
      </c>
    </row>
    <row r="56" spans="1:3" x14ac:dyDescent="0.35">
      <c r="A56" s="174">
        <v>2020</v>
      </c>
      <c r="B56" t="s">
        <v>224</v>
      </c>
      <c r="C56" s="98">
        <v>31.67</v>
      </c>
    </row>
    <row r="57" spans="1:3" x14ac:dyDescent="0.35">
      <c r="A57" s="174">
        <v>2020</v>
      </c>
      <c r="B57" t="s">
        <v>225</v>
      </c>
      <c r="C57" s="98">
        <v>36.86</v>
      </c>
    </row>
    <row r="58" spans="1:3" x14ac:dyDescent="0.35">
      <c r="A58" s="174">
        <v>2020</v>
      </c>
      <c r="B58" t="s">
        <v>226</v>
      </c>
      <c r="C58" s="98">
        <v>18.23</v>
      </c>
    </row>
    <row r="59" spans="1:3" x14ac:dyDescent="0.35">
      <c r="A59" s="174">
        <v>2020</v>
      </c>
      <c r="B59" t="s">
        <v>227</v>
      </c>
      <c r="C59" s="98">
        <v>41.13</v>
      </c>
    </row>
    <row r="60" spans="1:3" x14ac:dyDescent="0.35">
      <c r="A60" s="174">
        <v>2021</v>
      </c>
      <c r="B60" t="s">
        <v>233</v>
      </c>
      <c r="C60" s="98">
        <v>12.1</v>
      </c>
    </row>
    <row r="61" spans="1:3" x14ac:dyDescent="0.35">
      <c r="A61" s="174">
        <v>2021</v>
      </c>
      <c r="B61" t="s">
        <v>222</v>
      </c>
      <c r="C61" s="98">
        <v>19.28</v>
      </c>
    </row>
    <row r="62" spans="1:3" x14ac:dyDescent="0.35">
      <c r="A62" s="174">
        <v>2021</v>
      </c>
      <c r="B62" t="s">
        <v>224</v>
      </c>
      <c r="C62" s="98">
        <v>39.869999999999997</v>
      </c>
    </row>
    <row r="63" spans="1:3" x14ac:dyDescent="0.35">
      <c r="A63" s="174">
        <v>2021</v>
      </c>
      <c r="B63" t="s">
        <v>225</v>
      </c>
      <c r="C63" s="98">
        <v>41.23</v>
      </c>
    </row>
    <row r="64" spans="1:3" x14ac:dyDescent="0.35">
      <c r="A64" s="174">
        <v>2021</v>
      </c>
      <c r="B64" t="s">
        <v>226</v>
      </c>
      <c r="C64" s="98">
        <v>20.45</v>
      </c>
    </row>
    <row r="65" spans="1:3" x14ac:dyDescent="0.35">
      <c r="A65" s="174">
        <v>2021</v>
      </c>
      <c r="B65" t="s">
        <v>227</v>
      </c>
      <c r="C65" s="98">
        <v>44.44</v>
      </c>
    </row>
    <row r="66" spans="1:3" x14ac:dyDescent="0.35">
      <c r="A66" s="174">
        <v>2021</v>
      </c>
      <c r="B66" t="s">
        <v>232</v>
      </c>
      <c r="C66" s="98">
        <v>13.39</v>
      </c>
    </row>
    <row r="67" spans="1:3" x14ac:dyDescent="0.35">
      <c r="A67" s="174">
        <v>2022</v>
      </c>
      <c r="B67" t="s">
        <v>233</v>
      </c>
      <c r="C67" s="98">
        <v>11.8</v>
      </c>
    </row>
    <row r="68" spans="1:3" x14ac:dyDescent="0.35">
      <c r="A68" s="174">
        <v>2022</v>
      </c>
      <c r="B68" t="s">
        <v>222</v>
      </c>
      <c r="C68" s="98">
        <v>18.850000000000001</v>
      </c>
    </row>
    <row r="69" spans="1:3" x14ac:dyDescent="0.35">
      <c r="A69" s="174">
        <v>2022</v>
      </c>
      <c r="B69" t="s">
        <v>224</v>
      </c>
      <c r="C69" s="98">
        <v>43.57</v>
      </c>
    </row>
    <row r="70" spans="1:3" x14ac:dyDescent="0.35">
      <c r="A70" s="174">
        <v>2022</v>
      </c>
      <c r="B70" t="s">
        <v>225</v>
      </c>
      <c r="C70" s="98">
        <v>47.02</v>
      </c>
    </row>
    <row r="71" spans="1:3" x14ac:dyDescent="0.35">
      <c r="A71" s="174">
        <v>2022</v>
      </c>
      <c r="B71" t="s">
        <v>226</v>
      </c>
      <c r="C71" s="98">
        <v>22.76</v>
      </c>
    </row>
    <row r="72" spans="1:3" x14ac:dyDescent="0.35">
      <c r="A72" s="174">
        <v>2022</v>
      </c>
      <c r="B72" t="s">
        <v>227</v>
      </c>
      <c r="C72" s="98">
        <v>48.01</v>
      </c>
    </row>
    <row r="73" spans="1:3" x14ac:dyDescent="0.35">
      <c r="A73" s="174">
        <v>2022</v>
      </c>
      <c r="B73" t="s">
        <v>232</v>
      </c>
      <c r="C73" s="98">
        <v>19.260000000000002</v>
      </c>
    </row>
    <row r="74" spans="1:3" x14ac:dyDescent="0.35">
      <c r="A74" s="174">
        <v>2023</v>
      </c>
      <c r="B74" t="s">
        <v>230</v>
      </c>
      <c r="C74" s="98">
        <v>12.88</v>
      </c>
    </row>
    <row r="75" spans="1:3" x14ac:dyDescent="0.35">
      <c r="A75" s="174">
        <v>2023</v>
      </c>
      <c r="B75" t="s">
        <v>222</v>
      </c>
      <c r="C75" s="98">
        <v>19.23</v>
      </c>
    </row>
    <row r="76" spans="1:3" x14ac:dyDescent="0.35">
      <c r="A76" s="174">
        <v>2023</v>
      </c>
      <c r="B76" t="s">
        <v>224</v>
      </c>
      <c r="C76" s="98">
        <v>48.18</v>
      </c>
    </row>
    <row r="77" spans="1:3" x14ac:dyDescent="0.35">
      <c r="A77" s="174">
        <v>2023</v>
      </c>
      <c r="B77" t="s">
        <v>225</v>
      </c>
      <c r="C77" s="98">
        <v>54.43</v>
      </c>
    </row>
    <row r="78" spans="1:3" x14ac:dyDescent="0.35">
      <c r="A78" s="174">
        <v>2023</v>
      </c>
      <c r="B78" t="s">
        <v>226</v>
      </c>
      <c r="C78" s="98">
        <v>27.92</v>
      </c>
    </row>
    <row r="79" spans="1:3" x14ac:dyDescent="0.35">
      <c r="A79" s="174">
        <v>2023</v>
      </c>
      <c r="B79" t="s">
        <v>227</v>
      </c>
      <c r="C79" s="98">
        <v>54.51</v>
      </c>
    </row>
    <row r="80" spans="1:3" x14ac:dyDescent="0.35">
      <c r="A80" s="175">
        <v>2023</v>
      </c>
      <c r="B80" s="10" t="s">
        <v>232</v>
      </c>
      <c r="C80" s="99">
        <v>23.31</v>
      </c>
    </row>
    <row r="82" spans="1:1" x14ac:dyDescent="0.35">
      <c r="A82" s="172" t="s">
        <v>63</v>
      </c>
    </row>
    <row r="84" spans="1:1" x14ac:dyDescent="0.35">
      <c r="A84" s="172" t="s">
        <v>191</v>
      </c>
    </row>
    <row r="85" spans="1:1" x14ac:dyDescent="0.35">
      <c r="A85" s="172" t="s">
        <v>192</v>
      </c>
    </row>
    <row r="87" spans="1:1" x14ac:dyDescent="0.35">
      <c r="A87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L24"/>
  <sheetViews>
    <sheetView workbookViewId="0">
      <selection activeCell="A21" sqref="A21"/>
    </sheetView>
  </sheetViews>
  <sheetFormatPr defaultColWidth="10.90625" defaultRowHeight="14.5" x14ac:dyDescent="0.35"/>
  <cols>
    <col min="1" max="1" width="29.7265625" customWidth="1"/>
    <col min="2" max="12" width="8.7265625" customWidth="1"/>
  </cols>
  <sheetData>
    <row r="1" spans="1:12" x14ac:dyDescent="0.35">
      <c r="A1" t="s">
        <v>240</v>
      </c>
    </row>
    <row r="3" spans="1:12" x14ac:dyDescent="0.35">
      <c r="A3" s="5" t="s">
        <v>229</v>
      </c>
      <c r="B3" s="4" t="s">
        <v>93</v>
      </c>
      <c r="C3" s="4" t="s">
        <v>96</v>
      </c>
      <c r="D3" s="4" t="s">
        <v>97</v>
      </c>
      <c r="E3" s="4" t="s">
        <v>98</v>
      </c>
      <c r="F3" s="4" t="s">
        <v>99</v>
      </c>
      <c r="G3" s="4" t="s">
        <v>100</v>
      </c>
      <c r="H3" s="4" t="s">
        <v>101</v>
      </c>
      <c r="I3" s="4" t="s">
        <v>102</v>
      </c>
      <c r="J3" s="4" t="s">
        <v>103</v>
      </c>
      <c r="K3" s="4" t="s">
        <v>104</v>
      </c>
      <c r="L3" s="6" t="s">
        <v>105</v>
      </c>
    </row>
    <row r="4" spans="1:12" x14ac:dyDescent="0.35">
      <c r="A4" s="2" t="s">
        <v>227</v>
      </c>
      <c r="B4" s="183">
        <v>21.62</v>
      </c>
      <c r="C4" s="183">
        <v>23.28</v>
      </c>
      <c r="D4" s="183">
        <v>27.09</v>
      </c>
      <c r="E4" s="183">
        <v>27.42</v>
      </c>
      <c r="F4" s="183">
        <v>28.71</v>
      </c>
      <c r="G4" s="183">
        <v>29.14</v>
      </c>
      <c r="H4" s="183">
        <v>33.07</v>
      </c>
      <c r="I4" s="183">
        <v>41.13</v>
      </c>
      <c r="J4" s="183">
        <v>44.44</v>
      </c>
      <c r="K4" s="183">
        <v>48.01</v>
      </c>
      <c r="L4" s="187">
        <v>54.51</v>
      </c>
    </row>
    <row r="5" spans="1:12" x14ac:dyDescent="0.35">
      <c r="A5" s="2" t="s">
        <v>225</v>
      </c>
      <c r="B5" s="183">
        <v>16.59</v>
      </c>
      <c r="C5" s="183">
        <v>18.89</v>
      </c>
      <c r="D5" s="183">
        <v>21.26</v>
      </c>
      <c r="E5" s="183">
        <v>23.31</v>
      </c>
      <c r="F5" s="183">
        <v>27.21</v>
      </c>
      <c r="G5" s="183">
        <v>30.28</v>
      </c>
      <c r="H5" s="183">
        <v>33.93</v>
      </c>
      <c r="I5" s="183">
        <v>36.86</v>
      </c>
      <c r="J5" s="183">
        <v>41.23</v>
      </c>
      <c r="K5" s="183">
        <v>47.02</v>
      </c>
      <c r="L5" s="187">
        <v>54.43</v>
      </c>
    </row>
    <row r="6" spans="1:12" x14ac:dyDescent="0.35">
      <c r="A6" s="2" t="s">
        <v>226</v>
      </c>
      <c r="B6" s="183">
        <v>4.6100000000000003</v>
      </c>
      <c r="C6" s="183">
        <v>5.9</v>
      </c>
      <c r="D6" s="183">
        <v>7.55</v>
      </c>
      <c r="E6" s="183">
        <v>8.4700000000000006</v>
      </c>
      <c r="F6" s="183">
        <v>10.65</v>
      </c>
      <c r="G6" s="183">
        <v>12.02</v>
      </c>
      <c r="H6" s="183">
        <v>14.3</v>
      </c>
      <c r="I6" s="183">
        <v>18.23</v>
      </c>
      <c r="J6" s="183">
        <v>20.45</v>
      </c>
      <c r="K6" s="183">
        <v>22.76</v>
      </c>
      <c r="L6" s="187">
        <v>27.92</v>
      </c>
    </row>
    <row r="7" spans="1:12" x14ac:dyDescent="0.35">
      <c r="A7" s="2" t="s">
        <v>222</v>
      </c>
      <c r="B7" s="183">
        <v>19.190000000000001</v>
      </c>
      <c r="C7" s="183">
        <v>19.63</v>
      </c>
      <c r="D7" s="183">
        <v>18.87</v>
      </c>
      <c r="E7" s="183">
        <v>17.329999999999998</v>
      </c>
      <c r="F7" s="183">
        <v>19.07</v>
      </c>
      <c r="G7" s="183">
        <v>19.98</v>
      </c>
      <c r="H7" s="183">
        <v>20.16</v>
      </c>
      <c r="I7" s="183">
        <v>19.89</v>
      </c>
      <c r="J7" s="183">
        <v>19.28</v>
      </c>
      <c r="K7" s="183">
        <v>18.850000000000001</v>
      </c>
      <c r="L7" s="187">
        <v>19.23</v>
      </c>
    </row>
    <row r="8" spans="1:12" x14ac:dyDescent="0.35">
      <c r="A8" s="2" t="s">
        <v>232</v>
      </c>
      <c r="B8" s="183">
        <v>0</v>
      </c>
      <c r="C8" s="183">
        <v>0</v>
      </c>
      <c r="D8" s="183">
        <v>0.02</v>
      </c>
      <c r="E8" s="183">
        <v>0.03</v>
      </c>
      <c r="F8" s="183">
        <v>0.05</v>
      </c>
      <c r="G8" s="183">
        <v>0.05</v>
      </c>
      <c r="H8" s="183">
        <v>0.06</v>
      </c>
      <c r="I8" s="183">
        <v>7.45</v>
      </c>
      <c r="J8" s="183">
        <v>13.39</v>
      </c>
      <c r="K8" s="183">
        <v>19.260000000000002</v>
      </c>
      <c r="L8" s="187">
        <v>23.31</v>
      </c>
    </row>
    <row r="9" spans="1:12" x14ac:dyDescent="0.35">
      <c r="A9" s="2" t="s">
        <v>233</v>
      </c>
      <c r="B9" s="183">
        <v>14.36</v>
      </c>
      <c r="C9" s="183">
        <v>14.57</v>
      </c>
      <c r="D9" s="183">
        <v>14.53</v>
      </c>
      <c r="E9" s="183">
        <v>13.91</v>
      </c>
      <c r="F9" s="183">
        <v>13.46</v>
      </c>
      <c r="G9" s="183">
        <v>12.99</v>
      </c>
      <c r="H9" s="183">
        <v>12.75</v>
      </c>
      <c r="I9" s="183">
        <v>12.51</v>
      </c>
      <c r="J9" s="183">
        <v>12.1</v>
      </c>
      <c r="K9" s="183">
        <v>11.8</v>
      </c>
      <c r="L9" s="187">
        <v>11.6</v>
      </c>
    </row>
    <row r="10" spans="1:12" x14ac:dyDescent="0.35">
      <c r="A10" s="2" t="s">
        <v>223</v>
      </c>
      <c r="B10" s="183">
        <v>6.98</v>
      </c>
      <c r="C10" s="183">
        <v>7.21</v>
      </c>
      <c r="D10" s="183">
        <v>7.84</v>
      </c>
      <c r="E10" s="183">
        <v>8.18</v>
      </c>
      <c r="F10" s="183">
        <v>8.98</v>
      </c>
      <c r="G10" s="183">
        <v>9.35</v>
      </c>
      <c r="H10" s="183">
        <v>9.9700000000000006</v>
      </c>
      <c r="I10" s="183">
        <v>10.37</v>
      </c>
      <c r="J10" s="183">
        <v>10.87</v>
      </c>
      <c r="K10" s="183">
        <v>11.33</v>
      </c>
      <c r="L10" s="187">
        <v>11.83</v>
      </c>
    </row>
    <row r="11" spans="1:12" x14ac:dyDescent="0.35">
      <c r="A11" s="2" t="s">
        <v>221</v>
      </c>
      <c r="B11" s="183">
        <v>7.65</v>
      </c>
      <c r="C11" s="183">
        <v>8.1999999999999993</v>
      </c>
      <c r="D11" s="183">
        <v>8.65</v>
      </c>
      <c r="E11" s="183">
        <v>8.84</v>
      </c>
      <c r="F11" s="183">
        <v>9.77</v>
      </c>
      <c r="G11" s="183">
        <v>10.25</v>
      </c>
      <c r="H11" s="183">
        <v>8.4</v>
      </c>
      <c r="I11" s="183">
        <v>9.3000000000000007</v>
      </c>
      <c r="J11" s="183">
        <v>10.3</v>
      </c>
      <c r="K11" s="183">
        <v>11.32</v>
      </c>
      <c r="L11" s="187">
        <v>12.87</v>
      </c>
    </row>
    <row r="12" spans="1:12" x14ac:dyDescent="0.35">
      <c r="A12" s="2" t="s">
        <v>230</v>
      </c>
      <c r="B12" s="183">
        <v>0.02</v>
      </c>
      <c r="C12" s="183">
        <v>0.03</v>
      </c>
      <c r="D12" s="183">
        <v>0.03</v>
      </c>
      <c r="E12" s="183">
        <v>0.06</v>
      </c>
      <c r="F12" s="183">
        <v>0.08</v>
      </c>
      <c r="G12" s="183">
        <v>0.12</v>
      </c>
      <c r="H12" s="183">
        <v>0.14000000000000001</v>
      </c>
      <c r="I12" s="183">
        <v>3.8</v>
      </c>
      <c r="J12" s="183">
        <v>7.62</v>
      </c>
      <c r="K12" s="183">
        <v>10.130000000000001</v>
      </c>
      <c r="L12" s="187">
        <v>12.88</v>
      </c>
    </row>
    <row r="13" spans="1:12" x14ac:dyDescent="0.35">
      <c r="A13" s="2" t="s">
        <v>231</v>
      </c>
      <c r="B13" s="183">
        <v>5.26</v>
      </c>
      <c r="C13" s="183">
        <v>5.31</v>
      </c>
      <c r="D13" s="183">
        <v>5.24</v>
      </c>
      <c r="E13" s="183">
        <v>4.7</v>
      </c>
      <c r="F13" s="183">
        <v>4.37</v>
      </c>
      <c r="G13" s="183">
        <v>4.07</v>
      </c>
      <c r="H13" s="183">
        <v>4.17</v>
      </c>
      <c r="I13" s="183">
        <v>4.67</v>
      </c>
      <c r="J13" s="183">
        <v>4.7699999999999996</v>
      </c>
      <c r="K13" s="183">
        <v>4.67</v>
      </c>
      <c r="L13" s="187">
        <v>5.54</v>
      </c>
    </row>
    <row r="14" spans="1:12" x14ac:dyDescent="0.35">
      <c r="A14" s="2" t="s">
        <v>241</v>
      </c>
      <c r="B14" s="183">
        <v>0.09</v>
      </c>
      <c r="C14" s="183">
        <v>0.09</v>
      </c>
      <c r="D14" s="183">
        <v>0.09</v>
      </c>
      <c r="E14" s="183">
        <v>0.38</v>
      </c>
      <c r="F14" s="183">
        <v>2.83</v>
      </c>
      <c r="G14" s="183">
        <v>3.73</v>
      </c>
      <c r="H14" s="183">
        <v>2.4500000000000002</v>
      </c>
      <c r="I14" s="183">
        <v>2.68</v>
      </c>
      <c r="J14" s="183">
        <v>2.66</v>
      </c>
      <c r="K14" s="183">
        <v>3.07</v>
      </c>
      <c r="L14" s="187">
        <v>3.22</v>
      </c>
    </row>
    <row r="15" spans="1:12" x14ac:dyDescent="0.35">
      <c r="A15" s="2" t="s">
        <v>242</v>
      </c>
      <c r="B15" s="183">
        <v>1.41</v>
      </c>
      <c r="C15" s="183">
        <v>1.41</v>
      </c>
      <c r="D15" s="183">
        <v>1.39</v>
      </c>
      <c r="E15" s="183">
        <v>1.32</v>
      </c>
      <c r="F15" s="183">
        <v>1.3</v>
      </c>
      <c r="G15" s="183">
        <v>1.31</v>
      </c>
      <c r="H15" s="183">
        <v>1.32</v>
      </c>
      <c r="I15" s="183">
        <v>1.29</v>
      </c>
      <c r="J15" s="183">
        <v>1.26</v>
      </c>
      <c r="K15" s="183">
        <v>1.24</v>
      </c>
      <c r="L15" s="187">
        <v>1.31</v>
      </c>
    </row>
    <row r="16" spans="1:12" x14ac:dyDescent="0.35">
      <c r="A16" s="2" t="s">
        <v>224</v>
      </c>
      <c r="B16" s="183">
        <v>2.69</v>
      </c>
      <c r="C16" s="183">
        <v>2.67</v>
      </c>
      <c r="D16" s="183">
        <v>2.97</v>
      </c>
      <c r="E16" s="183">
        <v>2.94</v>
      </c>
      <c r="F16" s="183">
        <v>2.84</v>
      </c>
      <c r="G16" s="183">
        <v>2.74</v>
      </c>
      <c r="H16" s="183">
        <v>2.7</v>
      </c>
      <c r="I16" s="183">
        <v>2.4900000000000002</v>
      </c>
      <c r="J16" s="183">
        <v>2.38</v>
      </c>
      <c r="K16" s="183">
        <v>1.82</v>
      </c>
      <c r="L16" s="187">
        <v>1.82</v>
      </c>
    </row>
    <row r="17" spans="1:12" x14ac:dyDescent="0.35">
      <c r="A17" s="8" t="s">
        <v>236</v>
      </c>
      <c r="B17" s="184">
        <v>100.47</v>
      </c>
      <c r="C17" s="184">
        <v>107.19</v>
      </c>
      <c r="D17" s="184">
        <v>115.53</v>
      </c>
      <c r="E17" s="184">
        <v>116.89</v>
      </c>
      <c r="F17" s="184">
        <v>129.32</v>
      </c>
      <c r="G17" s="184">
        <v>136.04</v>
      </c>
      <c r="H17" s="184">
        <v>143.43</v>
      </c>
      <c r="I17" s="184">
        <v>170.66</v>
      </c>
      <c r="J17" s="184">
        <v>190.76</v>
      </c>
      <c r="K17" s="184">
        <v>211.26</v>
      </c>
      <c r="L17" s="188">
        <v>240.46</v>
      </c>
    </row>
    <row r="19" spans="1:12" x14ac:dyDescent="0.35">
      <c r="A19" t="s">
        <v>63</v>
      </c>
    </row>
    <row r="21" spans="1:12" x14ac:dyDescent="0.35">
      <c r="A21" t="s">
        <v>191</v>
      </c>
    </row>
    <row r="22" spans="1:12" x14ac:dyDescent="0.35">
      <c r="A22" t="s">
        <v>192</v>
      </c>
    </row>
    <row r="24" spans="1:12" x14ac:dyDescent="0.3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L24"/>
  <sheetViews>
    <sheetView workbookViewId="0"/>
  </sheetViews>
  <sheetFormatPr defaultColWidth="10.90625" defaultRowHeight="14.5" x14ac:dyDescent="0.35"/>
  <cols>
    <col min="1" max="1" width="30.7265625" customWidth="1"/>
    <col min="2" max="7" width="7.7265625" customWidth="1"/>
    <col min="8" max="12" width="8.7265625" customWidth="1"/>
  </cols>
  <sheetData>
    <row r="1" spans="1:12" x14ac:dyDescent="0.35">
      <c r="A1" t="s">
        <v>243</v>
      </c>
    </row>
    <row r="3" spans="1:12" x14ac:dyDescent="0.35">
      <c r="A3" s="5" t="s">
        <v>229</v>
      </c>
      <c r="B3" s="4" t="s">
        <v>93</v>
      </c>
      <c r="C3" s="4" t="s">
        <v>96</v>
      </c>
      <c r="D3" s="4" t="s">
        <v>97</v>
      </c>
      <c r="E3" s="4" t="s">
        <v>98</v>
      </c>
      <c r="F3" s="4" t="s">
        <v>99</v>
      </c>
      <c r="G3" s="4" t="s">
        <v>100</v>
      </c>
      <c r="H3" s="4" t="s">
        <v>101</v>
      </c>
      <c r="I3" s="4" t="s">
        <v>102</v>
      </c>
      <c r="J3" s="4" t="s">
        <v>103</v>
      </c>
      <c r="K3" s="4" t="s">
        <v>104</v>
      </c>
      <c r="L3" s="6" t="s">
        <v>105</v>
      </c>
    </row>
    <row r="4" spans="1:12" x14ac:dyDescent="0.35">
      <c r="A4" s="2" t="s">
        <v>226</v>
      </c>
      <c r="B4" s="181">
        <v>7.69</v>
      </c>
      <c r="C4" s="181">
        <v>10.08</v>
      </c>
      <c r="D4" s="181">
        <v>12.55</v>
      </c>
      <c r="E4" s="181">
        <v>15.45</v>
      </c>
      <c r="F4" s="181">
        <v>17.510000000000002</v>
      </c>
      <c r="G4" s="181">
        <v>20.53</v>
      </c>
      <c r="H4" s="181">
        <v>23.39</v>
      </c>
      <c r="I4" s="181">
        <v>24.86</v>
      </c>
      <c r="J4" s="181">
        <v>27.65</v>
      </c>
      <c r="K4" s="181">
        <v>31.14</v>
      </c>
      <c r="L4" s="185">
        <v>34.409999999999997</v>
      </c>
    </row>
    <row r="5" spans="1:12" x14ac:dyDescent="0.35">
      <c r="A5" s="2" t="s">
        <v>225</v>
      </c>
      <c r="B5" s="181">
        <v>13.81</v>
      </c>
      <c r="C5" s="181">
        <v>11.72</v>
      </c>
      <c r="D5" s="181">
        <v>13.09</v>
      </c>
      <c r="E5" s="181">
        <v>13.93</v>
      </c>
      <c r="F5" s="181">
        <v>14.26</v>
      </c>
      <c r="G5" s="181">
        <v>15.76</v>
      </c>
      <c r="H5" s="181">
        <v>16.149999999999999</v>
      </c>
      <c r="I5" s="181">
        <v>17.920000000000002</v>
      </c>
      <c r="J5" s="181">
        <v>20.55</v>
      </c>
      <c r="K5" s="181">
        <v>22.44</v>
      </c>
      <c r="L5" s="185">
        <v>24.78</v>
      </c>
    </row>
    <row r="6" spans="1:12" x14ac:dyDescent="0.35">
      <c r="A6" s="2" t="s">
        <v>227</v>
      </c>
      <c r="B6" s="181">
        <v>15.96</v>
      </c>
      <c r="C6" s="181">
        <v>13.5</v>
      </c>
      <c r="D6" s="181">
        <v>14.92</v>
      </c>
      <c r="E6" s="181">
        <v>15.39</v>
      </c>
      <c r="F6" s="181">
        <v>17.43</v>
      </c>
      <c r="G6" s="181">
        <v>19.600000000000001</v>
      </c>
      <c r="H6" s="181">
        <v>21.04</v>
      </c>
      <c r="I6" s="181">
        <v>19.649999999999999</v>
      </c>
      <c r="J6" s="181">
        <v>20.37</v>
      </c>
      <c r="K6" s="181">
        <v>22.86</v>
      </c>
      <c r="L6" s="185">
        <v>24.32</v>
      </c>
    </row>
    <row r="7" spans="1:12" x14ac:dyDescent="0.35">
      <c r="A7" s="2" t="s">
        <v>221</v>
      </c>
      <c r="B7" s="181">
        <v>9.61</v>
      </c>
      <c r="C7" s="181">
        <v>9.6300000000000008</v>
      </c>
      <c r="D7" s="181">
        <v>10.43</v>
      </c>
      <c r="E7" s="181">
        <v>10.64</v>
      </c>
      <c r="F7" s="181">
        <v>10.73</v>
      </c>
      <c r="G7" s="181">
        <v>11.41</v>
      </c>
      <c r="H7" s="181">
        <v>8.93</v>
      </c>
      <c r="I7" s="181">
        <v>10.71</v>
      </c>
      <c r="J7" s="181">
        <v>11.99</v>
      </c>
      <c r="K7" s="181">
        <v>13.12</v>
      </c>
      <c r="L7" s="185">
        <v>13.94</v>
      </c>
    </row>
    <row r="8" spans="1:12" x14ac:dyDescent="0.35">
      <c r="A8" s="2" t="s">
        <v>223</v>
      </c>
      <c r="B8" s="181">
        <v>10.75</v>
      </c>
      <c r="C8" s="181">
        <v>7.7</v>
      </c>
      <c r="D8" s="181">
        <v>8.4</v>
      </c>
      <c r="E8" s="181">
        <v>7.55</v>
      </c>
      <c r="F8" s="181">
        <v>7.51</v>
      </c>
      <c r="G8" s="181">
        <v>7.48</v>
      </c>
      <c r="H8" s="181">
        <v>8.01</v>
      </c>
      <c r="I8" s="181">
        <v>8.4600000000000009</v>
      </c>
      <c r="J8" s="181">
        <v>8.51</v>
      </c>
      <c r="K8" s="181">
        <v>7.79</v>
      </c>
      <c r="L8" s="185">
        <v>7.7</v>
      </c>
    </row>
    <row r="9" spans="1:12" x14ac:dyDescent="0.35">
      <c r="A9" s="2" t="s">
        <v>231</v>
      </c>
      <c r="B9" s="181">
        <v>9.41</v>
      </c>
      <c r="C9" s="181">
        <v>9.4600000000000009</v>
      </c>
      <c r="D9" s="181">
        <v>9.2200000000000006</v>
      </c>
      <c r="E9" s="181">
        <v>8.44</v>
      </c>
      <c r="F9" s="181">
        <v>8.77</v>
      </c>
      <c r="G9" s="181">
        <v>9</v>
      </c>
      <c r="H9" s="181">
        <v>8.66</v>
      </c>
      <c r="I9" s="181">
        <v>7.68</v>
      </c>
      <c r="J9" s="181">
        <v>7.79</v>
      </c>
      <c r="K9" s="181">
        <v>7.96</v>
      </c>
      <c r="L9" s="185">
        <v>6.89</v>
      </c>
    </row>
    <row r="10" spans="1:12" x14ac:dyDescent="0.35">
      <c r="A10" s="2" t="s">
        <v>222</v>
      </c>
      <c r="B10" s="181">
        <v>10</v>
      </c>
      <c r="C10" s="181">
        <v>9.23</v>
      </c>
      <c r="D10" s="181">
        <v>10.1</v>
      </c>
      <c r="E10" s="181">
        <v>8.39</v>
      </c>
      <c r="F10" s="181">
        <v>7.68</v>
      </c>
      <c r="G10" s="181">
        <v>6.83</v>
      </c>
      <c r="H10" s="181">
        <v>7.42</v>
      </c>
      <c r="I10" s="181">
        <v>6.79</v>
      </c>
      <c r="J10" s="181">
        <v>6.77</v>
      </c>
      <c r="K10" s="181">
        <v>6.69</v>
      </c>
      <c r="L10" s="185">
        <v>6.01</v>
      </c>
    </row>
    <row r="11" spans="1:12" x14ac:dyDescent="0.35">
      <c r="A11" s="2" t="s">
        <v>232</v>
      </c>
      <c r="B11" s="181">
        <v>0</v>
      </c>
      <c r="C11" s="181">
        <v>0</v>
      </c>
      <c r="D11" s="181">
        <v>0</v>
      </c>
      <c r="E11" s="181">
        <v>0</v>
      </c>
      <c r="F11" s="181">
        <v>0</v>
      </c>
      <c r="G11" s="181">
        <v>0</v>
      </c>
      <c r="H11" s="181">
        <v>0</v>
      </c>
      <c r="I11" s="181">
        <v>3.17</v>
      </c>
      <c r="J11" s="181">
        <v>5.73</v>
      </c>
      <c r="K11" s="181">
        <v>8.32</v>
      </c>
      <c r="L11" s="185">
        <v>9.7100000000000009</v>
      </c>
    </row>
    <row r="12" spans="1:12" x14ac:dyDescent="0.35">
      <c r="A12" s="2" t="s">
        <v>230</v>
      </c>
      <c r="B12" s="181">
        <v>0</v>
      </c>
      <c r="C12" s="181">
        <v>0</v>
      </c>
      <c r="D12" s="181">
        <v>0</v>
      </c>
      <c r="E12" s="181">
        <v>0</v>
      </c>
      <c r="F12" s="181">
        <v>0</v>
      </c>
      <c r="G12" s="181">
        <v>0</v>
      </c>
      <c r="H12" s="181">
        <v>0</v>
      </c>
      <c r="I12" s="181">
        <v>2.54</v>
      </c>
      <c r="J12" s="181">
        <v>4.2300000000000004</v>
      </c>
      <c r="K12" s="181">
        <v>5.8</v>
      </c>
      <c r="L12" s="185">
        <v>6.38</v>
      </c>
    </row>
    <row r="13" spans="1:12" x14ac:dyDescent="0.35">
      <c r="A13" s="2" t="s">
        <v>234</v>
      </c>
      <c r="B13" s="181">
        <v>1.89</v>
      </c>
      <c r="C13" s="181">
        <v>1.62</v>
      </c>
      <c r="D13" s="181">
        <v>1.99</v>
      </c>
      <c r="E13" s="181">
        <v>1.89</v>
      </c>
      <c r="F13" s="181">
        <v>1.98</v>
      </c>
      <c r="G13" s="181">
        <v>2.1</v>
      </c>
      <c r="H13" s="181">
        <v>2.27</v>
      </c>
      <c r="I13" s="181">
        <v>1.98</v>
      </c>
      <c r="J13" s="181">
        <v>2.3199999999999998</v>
      </c>
      <c r="K13" s="181">
        <v>2.72</v>
      </c>
      <c r="L13" s="185">
        <v>2.06</v>
      </c>
    </row>
    <row r="14" spans="1:12" x14ac:dyDescent="0.35">
      <c r="A14" s="2" t="s">
        <v>235</v>
      </c>
      <c r="B14" s="181">
        <v>1.67</v>
      </c>
      <c r="C14" s="181">
        <v>1.68</v>
      </c>
      <c r="D14" s="181">
        <v>1.68</v>
      </c>
      <c r="E14" s="181">
        <v>2.06</v>
      </c>
      <c r="F14" s="181">
        <v>2.36</v>
      </c>
      <c r="G14" s="181">
        <v>2.27</v>
      </c>
      <c r="H14" s="181">
        <v>2.23</v>
      </c>
      <c r="I14" s="181">
        <v>2.17</v>
      </c>
      <c r="J14" s="181">
        <v>2.09</v>
      </c>
      <c r="K14" s="181">
        <v>0</v>
      </c>
      <c r="L14" s="185">
        <v>0</v>
      </c>
    </row>
    <row r="15" spans="1:12" x14ac:dyDescent="0.35">
      <c r="A15" s="2" t="s">
        <v>241</v>
      </c>
      <c r="B15" s="181">
        <v>0</v>
      </c>
      <c r="C15" s="181">
        <v>0</v>
      </c>
      <c r="D15" s="181">
        <v>0</v>
      </c>
      <c r="E15" s="181">
        <v>0.14000000000000001</v>
      </c>
      <c r="F15" s="181">
        <v>1.19</v>
      </c>
      <c r="G15" s="181">
        <v>1.58</v>
      </c>
      <c r="H15" s="181">
        <v>1.68</v>
      </c>
      <c r="I15" s="181">
        <v>1.73</v>
      </c>
      <c r="J15" s="181">
        <v>1.24</v>
      </c>
      <c r="K15" s="181">
        <v>1.38</v>
      </c>
      <c r="L15" s="185">
        <v>1.38</v>
      </c>
    </row>
    <row r="16" spans="1:12" x14ac:dyDescent="0.35">
      <c r="A16" s="2" t="s">
        <v>224</v>
      </c>
      <c r="B16" s="181">
        <v>1.1599999999999999</v>
      </c>
      <c r="C16" s="181">
        <v>1.1499999999999999</v>
      </c>
      <c r="D16" s="181">
        <v>1.63</v>
      </c>
      <c r="E16" s="181">
        <v>1.49</v>
      </c>
      <c r="F16" s="181">
        <v>1.28</v>
      </c>
      <c r="G16" s="181">
        <v>1.22</v>
      </c>
      <c r="H16" s="181">
        <v>1.1599999999999999</v>
      </c>
      <c r="I16" s="181">
        <v>1.0900000000000001</v>
      </c>
      <c r="J16" s="181">
        <v>0.95</v>
      </c>
      <c r="K16" s="181">
        <v>0.81</v>
      </c>
      <c r="L16" s="185">
        <v>0.9</v>
      </c>
    </row>
    <row r="17" spans="1:12" x14ac:dyDescent="0.35">
      <c r="A17" s="8" t="s">
        <v>236</v>
      </c>
      <c r="B17" s="182">
        <v>81.95</v>
      </c>
      <c r="C17" s="182">
        <v>75.77</v>
      </c>
      <c r="D17" s="182">
        <v>84.01</v>
      </c>
      <c r="E17" s="182">
        <v>85.37</v>
      </c>
      <c r="F17" s="182">
        <v>90.7</v>
      </c>
      <c r="G17" s="182">
        <v>97.77</v>
      </c>
      <c r="H17" s="182">
        <v>100.94</v>
      </c>
      <c r="I17" s="182">
        <v>108.75</v>
      </c>
      <c r="J17" s="182">
        <v>120.21</v>
      </c>
      <c r="K17" s="182">
        <v>131.02000000000001</v>
      </c>
      <c r="L17" s="186">
        <v>138.46</v>
      </c>
    </row>
    <row r="19" spans="1:12" x14ac:dyDescent="0.35">
      <c r="A19" t="s">
        <v>63</v>
      </c>
    </row>
    <row r="21" spans="1:12" x14ac:dyDescent="0.35">
      <c r="A21" t="s">
        <v>191</v>
      </c>
    </row>
    <row r="22" spans="1:12" x14ac:dyDescent="0.35">
      <c r="A22" t="s">
        <v>192</v>
      </c>
    </row>
    <row r="24" spans="1:12" x14ac:dyDescent="0.35">
      <c r="A24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87"/>
  <sheetViews>
    <sheetView workbookViewId="0"/>
  </sheetViews>
  <sheetFormatPr defaultColWidth="10.90625" defaultRowHeight="14.5" x14ac:dyDescent="0.35"/>
  <cols>
    <col min="1" max="1" width="6.7265625" style="172" customWidth="1"/>
    <col min="2" max="2" width="29.7265625" customWidth="1"/>
    <col min="3" max="3" width="18.7265625" customWidth="1"/>
  </cols>
  <sheetData>
    <row r="1" spans="1:3" x14ac:dyDescent="0.35">
      <c r="A1" s="172" t="s">
        <v>244</v>
      </c>
    </row>
    <row r="3" spans="1:3" x14ac:dyDescent="0.35">
      <c r="A3" s="173" t="s">
        <v>1</v>
      </c>
      <c r="B3" s="4" t="s">
        <v>220</v>
      </c>
      <c r="C3" s="6" t="s">
        <v>245</v>
      </c>
    </row>
    <row r="4" spans="1:3" x14ac:dyDescent="0.35">
      <c r="A4" s="174">
        <v>2013</v>
      </c>
      <c r="B4" t="s">
        <v>233</v>
      </c>
      <c r="C4" s="100">
        <v>9.23</v>
      </c>
    </row>
    <row r="5" spans="1:3" x14ac:dyDescent="0.35">
      <c r="A5" s="174">
        <v>2013</v>
      </c>
      <c r="B5" t="s">
        <v>221</v>
      </c>
      <c r="C5" s="100">
        <v>23.1</v>
      </c>
    </row>
    <row r="6" spans="1:3" x14ac:dyDescent="0.35">
      <c r="A6" s="174">
        <v>2013</v>
      </c>
      <c r="B6" t="s">
        <v>222</v>
      </c>
      <c r="C6" s="100">
        <v>14.1</v>
      </c>
    </row>
    <row r="7" spans="1:3" x14ac:dyDescent="0.35">
      <c r="A7" s="174">
        <v>2013</v>
      </c>
      <c r="B7" t="s">
        <v>223</v>
      </c>
      <c r="C7" s="100">
        <v>21.12</v>
      </c>
    </row>
    <row r="8" spans="1:3" x14ac:dyDescent="0.35">
      <c r="A8" s="174">
        <v>2013</v>
      </c>
      <c r="B8" t="s">
        <v>224</v>
      </c>
      <c r="C8" s="100">
        <v>15.64</v>
      </c>
    </row>
    <row r="9" spans="1:3" x14ac:dyDescent="0.35">
      <c r="A9" s="174">
        <v>2013</v>
      </c>
      <c r="B9" t="s">
        <v>225</v>
      </c>
      <c r="C9" s="100">
        <v>50.24</v>
      </c>
    </row>
    <row r="10" spans="1:3" x14ac:dyDescent="0.35">
      <c r="A10" s="174">
        <v>2013</v>
      </c>
      <c r="B10" t="s">
        <v>227</v>
      </c>
      <c r="C10" s="100">
        <v>25.96</v>
      </c>
    </row>
    <row r="11" spans="1:3" x14ac:dyDescent="0.35">
      <c r="A11" s="174">
        <v>2014</v>
      </c>
      <c r="B11" t="s">
        <v>233</v>
      </c>
      <c r="C11" s="100">
        <v>9.44</v>
      </c>
    </row>
    <row r="12" spans="1:3" x14ac:dyDescent="0.35">
      <c r="A12" s="174">
        <v>2014</v>
      </c>
      <c r="B12" t="s">
        <v>221</v>
      </c>
      <c r="C12" s="100">
        <v>25.4</v>
      </c>
    </row>
    <row r="13" spans="1:3" x14ac:dyDescent="0.35">
      <c r="A13" s="174">
        <v>2014</v>
      </c>
      <c r="B13" t="s">
        <v>222</v>
      </c>
      <c r="C13" s="100">
        <v>14.65</v>
      </c>
    </row>
    <row r="14" spans="1:3" x14ac:dyDescent="0.35">
      <c r="A14" s="174">
        <v>2014</v>
      </c>
      <c r="B14" t="s">
        <v>223</v>
      </c>
      <c r="C14" s="100">
        <v>22.39</v>
      </c>
    </row>
    <row r="15" spans="1:3" x14ac:dyDescent="0.35">
      <c r="A15" s="174">
        <v>2014</v>
      </c>
      <c r="B15" t="s">
        <v>224</v>
      </c>
      <c r="C15" s="100">
        <v>18.260000000000002</v>
      </c>
    </row>
    <row r="16" spans="1:3" x14ac:dyDescent="0.35">
      <c r="A16" s="174">
        <v>2014</v>
      </c>
      <c r="B16" t="s">
        <v>225</v>
      </c>
      <c r="C16" s="100">
        <v>59.16</v>
      </c>
    </row>
    <row r="17" spans="1:3" x14ac:dyDescent="0.35">
      <c r="A17" s="174">
        <v>2014</v>
      </c>
      <c r="B17" t="s">
        <v>227</v>
      </c>
      <c r="C17" s="100">
        <v>30.44</v>
      </c>
    </row>
    <row r="18" spans="1:3" x14ac:dyDescent="0.35">
      <c r="A18" s="174">
        <v>2015</v>
      </c>
      <c r="B18" t="s">
        <v>233</v>
      </c>
      <c r="C18" s="100">
        <v>9.42</v>
      </c>
    </row>
    <row r="19" spans="1:3" x14ac:dyDescent="0.35">
      <c r="A19" s="174">
        <v>2015</v>
      </c>
      <c r="B19" t="s">
        <v>221</v>
      </c>
      <c r="C19" s="100">
        <v>27.35</v>
      </c>
    </row>
    <row r="20" spans="1:3" x14ac:dyDescent="0.35">
      <c r="A20" s="174">
        <v>2015</v>
      </c>
      <c r="B20" t="s">
        <v>222</v>
      </c>
      <c r="C20" s="100">
        <v>14.8</v>
      </c>
    </row>
    <row r="21" spans="1:3" x14ac:dyDescent="0.35">
      <c r="A21" s="174">
        <v>2015</v>
      </c>
      <c r="B21" t="s">
        <v>223</v>
      </c>
      <c r="C21" s="100">
        <v>24.85</v>
      </c>
    </row>
    <row r="22" spans="1:3" x14ac:dyDescent="0.35">
      <c r="A22" s="174">
        <v>2015</v>
      </c>
      <c r="B22" t="s">
        <v>224</v>
      </c>
      <c r="C22" s="100">
        <v>20.8</v>
      </c>
    </row>
    <row r="23" spans="1:3" x14ac:dyDescent="0.35">
      <c r="A23" s="174">
        <v>2015</v>
      </c>
      <c r="B23" t="s">
        <v>225</v>
      </c>
      <c r="C23" s="100">
        <v>68.06</v>
      </c>
    </row>
    <row r="24" spans="1:3" x14ac:dyDescent="0.35">
      <c r="A24" s="174">
        <v>2015</v>
      </c>
      <c r="B24" t="s">
        <v>227</v>
      </c>
      <c r="C24" s="100">
        <v>35.630000000000003</v>
      </c>
    </row>
    <row r="25" spans="1:3" x14ac:dyDescent="0.35">
      <c r="A25" s="174">
        <v>2016</v>
      </c>
      <c r="B25" t="s">
        <v>221</v>
      </c>
      <c r="C25" s="100">
        <v>28.84</v>
      </c>
    </row>
    <row r="26" spans="1:3" x14ac:dyDescent="0.35">
      <c r="A26" s="174">
        <v>2016</v>
      </c>
      <c r="B26" t="s">
        <v>222</v>
      </c>
      <c r="C26" s="100">
        <v>13.63</v>
      </c>
    </row>
    <row r="27" spans="1:3" x14ac:dyDescent="0.35">
      <c r="A27" s="174">
        <v>2016</v>
      </c>
      <c r="B27" t="s">
        <v>223</v>
      </c>
      <c r="C27" s="100">
        <v>26.75</v>
      </c>
    </row>
    <row r="28" spans="1:3" x14ac:dyDescent="0.35">
      <c r="A28" s="174">
        <v>2016</v>
      </c>
      <c r="B28" t="s">
        <v>224</v>
      </c>
      <c r="C28" s="100">
        <v>20.93</v>
      </c>
    </row>
    <row r="29" spans="1:3" x14ac:dyDescent="0.35">
      <c r="A29" s="174">
        <v>2016</v>
      </c>
      <c r="B29" t="s">
        <v>225</v>
      </c>
      <c r="C29" s="100">
        <v>76.819999999999993</v>
      </c>
    </row>
    <row r="30" spans="1:3" x14ac:dyDescent="0.35">
      <c r="A30" s="174">
        <v>2016</v>
      </c>
      <c r="B30" t="s">
        <v>226</v>
      </c>
      <c r="C30" s="100">
        <v>11.26</v>
      </c>
    </row>
    <row r="31" spans="1:3" x14ac:dyDescent="0.35">
      <c r="A31" s="174">
        <v>2016</v>
      </c>
      <c r="B31" t="s">
        <v>227</v>
      </c>
      <c r="C31" s="100">
        <v>40.28</v>
      </c>
    </row>
    <row r="32" spans="1:3" x14ac:dyDescent="0.35">
      <c r="A32" s="174">
        <v>2017</v>
      </c>
      <c r="B32" t="s">
        <v>221</v>
      </c>
      <c r="C32" s="100">
        <v>30.25</v>
      </c>
    </row>
    <row r="33" spans="1:3" x14ac:dyDescent="0.35">
      <c r="A33" s="174">
        <v>2017</v>
      </c>
      <c r="B33" t="s">
        <v>222</v>
      </c>
      <c r="C33" s="100">
        <v>14.23</v>
      </c>
    </row>
    <row r="34" spans="1:3" x14ac:dyDescent="0.35">
      <c r="A34" s="174">
        <v>2017</v>
      </c>
      <c r="B34" t="s">
        <v>223</v>
      </c>
      <c r="C34" s="100">
        <v>28.19</v>
      </c>
    </row>
    <row r="35" spans="1:3" x14ac:dyDescent="0.35">
      <c r="A35" s="174">
        <v>2017</v>
      </c>
      <c r="B35" t="s">
        <v>224</v>
      </c>
      <c r="C35" s="100">
        <v>21.28</v>
      </c>
    </row>
    <row r="36" spans="1:3" x14ac:dyDescent="0.35">
      <c r="A36" s="174">
        <v>2017</v>
      </c>
      <c r="B36" t="s">
        <v>225</v>
      </c>
      <c r="C36" s="100">
        <v>85.38</v>
      </c>
    </row>
    <row r="37" spans="1:3" x14ac:dyDescent="0.35">
      <c r="A37" s="174">
        <v>2017</v>
      </c>
      <c r="B37" t="s">
        <v>226</v>
      </c>
      <c r="C37" s="100">
        <v>13.33</v>
      </c>
    </row>
    <row r="38" spans="1:3" x14ac:dyDescent="0.35">
      <c r="A38" s="174">
        <v>2017</v>
      </c>
      <c r="B38" t="s">
        <v>227</v>
      </c>
      <c r="C38" s="100">
        <v>44.1</v>
      </c>
    </row>
    <row r="39" spans="1:3" x14ac:dyDescent="0.35">
      <c r="A39" s="174">
        <v>2018</v>
      </c>
      <c r="B39" t="s">
        <v>221</v>
      </c>
      <c r="C39" s="100">
        <v>31.68</v>
      </c>
    </row>
    <row r="40" spans="1:3" x14ac:dyDescent="0.35">
      <c r="A40" s="174">
        <v>2018</v>
      </c>
      <c r="B40" t="s">
        <v>222</v>
      </c>
      <c r="C40" s="100">
        <v>14.3</v>
      </c>
    </row>
    <row r="41" spans="1:3" x14ac:dyDescent="0.35">
      <c r="A41" s="174">
        <v>2018</v>
      </c>
      <c r="B41" t="s">
        <v>223</v>
      </c>
      <c r="C41" s="100">
        <v>29.34</v>
      </c>
    </row>
    <row r="42" spans="1:3" x14ac:dyDescent="0.35">
      <c r="A42" s="174">
        <v>2018</v>
      </c>
      <c r="B42" t="s">
        <v>224</v>
      </c>
      <c r="C42" s="100">
        <v>21.38</v>
      </c>
    </row>
    <row r="43" spans="1:3" x14ac:dyDescent="0.35">
      <c r="A43" s="174">
        <v>2018</v>
      </c>
      <c r="B43" t="s">
        <v>225</v>
      </c>
      <c r="C43" s="100">
        <v>94.77</v>
      </c>
    </row>
    <row r="44" spans="1:3" x14ac:dyDescent="0.35">
      <c r="A44" s="174">
        <v>2018</v>
      </c>
      <c r="B44" t="s">
        <v>226</v>
      </c>
      <c r="C44" s="100">
        <v>15.57</v>
      </c>
    </row>
    <row r="45" spans="1:3" x14ac:dyDescent="0.35">
      <c r="A45" s="174">
        <v>2018</v>
      </c>
      <c r="B45" t="s">
        <v>227</v>
      </c>
      <c r="C45" s="100">
        <v>47.96</v>
      </c>
    </row>
    <row r="46" spans="1:3" x14ac:dyDescent="0.35">
      <c r="A46" s="174">
        <v>2019</v>
      </c>
      <c r="B46" t="s">
        <v>221</v>
      </c>
      <c r="C46" s="100">
        <v>25.88</v>
      </c>
    </row>
    <row r="47" spans="1:3" x14ac:dyDescent="0.35">
      <c r="A47" s="174">
        <v>2019</v>
      </c>
      <c r="B47" t="s">
        <v>222</v>
      </c>
      <c r="C47" s="100">
        <v>14.96</v>
      </c>
    </row>
    <row r="48" spans="1:3" x14ac:dyDescent="0.35">
      <c r="A48" s="174">
        <v>2019</v>
      </c>
      <c r="B48" t="s">
        <v>223</v>
      </c>
      <c r="C48" s="100">
        <v>31.31</v>
      </c>
    </row>
    <row r="49" spans="1:3" x14ac:dyDescent="0.35">
      <c r="A49" s="174">
        <v>2019</v>
      </c>
      <c r="B49" t="s">
        <v>224</v>
      </c>
      <c r="C49" s="100">
        <v>21.81</v>
      </c>
    </row>
    <row r="50" spans="1:3" x14ac:dyDescent="0.35">
      <c r="A50" s="174">
        <v>2019</v>
      </c>
      <c r="B50" t="s">
        <v>225</v>
      </c>
      <c r="C50" s="100">
        <v>107.6</v>
      </c>
    </row>
    <row r="51" spans="1:3" x14ac:dyDescent="0.35">
      <c r="A51" s="174">
        <v>2019</v>
      </c>
      <c r="B51" t="s">
        <v>226</v>
      </c>
      <c r="C51" s="100">
        <v>18.27</v>
      </c>
    </row>
    <row r="52" spans="1:3" x14ac:dyDescent="0.35">
      <c r="A52" s="174">
        <v>2019</v>
      </c>
      <c r="B52" t="s">
        <v>227</v>
      </c>
      <c r="C52" s="100">
        <v>53.73</v>
      </c>
    </row>
    <row r="53" spans="1:3" x14ac:dyDescent="0.35">
      <c r="A53" s="174">
        <v>2020</v>
      </c>
      <c r="B53" t="s">
        <v>221</v>
      </c>
      <c r="C53" s="100">
        <v>28.75</v>
      </c>
    </row>
    <row r="54" spans="1:3" x14ac:dyDescent="0.35">
      <c r="A54" s="174">
        <v>2020</v>
      </c>
      <c r="B54" t="s">
        <v>222</v>
      </c>
      <c r="C54" s="100">
        <v>14.46</v>
      </c>
    </row>
    <row r="55" spans="1:3" x14ac:dyDescent="0.35">
      <c r="A55" s="174">
        <v>2020</v>
      </c>
      <c r="B55" t="s">
        <v>223</v>
      </c>
      <c r="C55" s="100">
        <v>32.549999999999997</v>
      </c>
    </row>
    <row r="56" spans="1:3" x14ac:dyDescent="0.35">
      <c r="A56" s="174">
        <v>2020</v>
      </c>
      <c r="B56" t="s">
        <v>224</v>
      </c>
      <c r="C56" s="100">
        <v>28.98</v>
      </c>
    </row>
    <row r="57" spans="1:3" x14ac:dyDescent="0.35">
      <c r="A57" s="174">
        <v>2020</v>
      </c>
      <c r="B57" t="s">
        <v>225</v>
      </c>
      <c r="C57" s="100">
        <v>116.8</v>
      </c>
    </row>
    <row r="58" spans="1:3" x14ac:dyDescent="0.35">
      <c r="A58" s="174">
        <v>2020</v>
      </c>
      <c r="B58" t="s">
        <v>226</v>
      </c>
      <c r="C58" s="100">
        <v>20.62</v>
      </c>
    </row>
    <row r="59" spans="1:3" x14ac:dyDescent="0.35">
      <c r="A59" s="174">
        <v>2020</v>
      </c>
      <c r="B59" t="s">
        <v>227</v>
      </c>
      <c r="C59" s="100">
        <v>58.8</v>
      </c>
    </row>
    <row r="60" spans="1:3" x14ac:dyDescent="0.35">
      <c r="A60" s="174">
        <v>2021</v>
      </c>
      <c r="B60" t="s">
        <v>221</v>
      </c>
      <c r="C60" s="100">
        <v>32</v>
      </c>
    </row>
    <row r="61" spans="1:3" x14ac:dyDescent="0.35">
      <c r="A61" s="174">
        <v>2021</v>
      </c>
      <c r="B61" t="s">
        <v>222</v>
      </c>
      <c r="C61" s="100">
        <v>14.23</v>
      </c>
    </row>
    <row r="62" spans="1:3" x14ac:dyDescent="0.35">
      <c r="A62" s="174">
        <v>2021</v>
      </c>
      <c r="B62" t="s">
        <v>223</v>
      </c>
      <c r="C62" s="100">
        <v>34.11</v>
      </c>
    </row>
    <row r="63" spans="1:3" x14ac:dyDescent="0.35">
      <c r="A63" s="174">
        <v>2021</v>
      </c>
      <c r="B63" t="s">
        <v>224</v>
      </c>
      <c r="C63" s="100">
        <v>36.31</v>
      </c>
    </row>
    <row r="64" spans="1:3" x14ac:dyDescent="0.35">
      <c r="A64" s="174">
        <v>2021</v>
      </c>
      <c r="B64" t="s">
        <v>225</v>
      </c>
      <c r="C64" s="100">
        <v>130.54</v>
      </c>
    </row>
    <row r="65" spans="1:3" x14ac:dyDescent="0.35">
      <c r="A65" s="174">
        <v>2021</v>
      </c>
      <c r="B65" t="s">
        <v>226</v>
      </c>
      <c r="C65" s="100">
        <v>23.03</v>
      </c>
    </row>
    <row r="66" spans="1:3" x14ac:dyDescent="0.35">
      <c r="A66" s="174">
        <v>2021</v>
      </c>
      <c r="B66" t="s">
        <v>227</v>
      </c>
      <c r="C66" s="100">
        <v>63.18</v>
      </c>
    </row>
    <row r="67" spans="1:3" x14ac:dyDescent="0.35">
      <c r="A67" s="174">
        <v>2022</v>
      </c>
      <c r="B67" t="s">
        <v>230</v>
      </c>
      <c r="C67" s="100">
        <v>14.43</v>
      </c>
    </row>
    <row r="68" spans="1:3" x14ac:dyDescent="0.35">
      <c r="A68" s="174">
        <v>2022</v>
      </c>
      <c r="B68" t="s">
        <v>221</v>
      </c>
      <c r="C68" s="100">
        <v>35.299999999999997</v>
      </c>
    </row>
    <row r="69" spans="1:3" x14ac:dyDescent="0.35">
      <c r="A69" s="174">
        <v>2022</v>
      </c>
      <c r="B69" t="s">
        <v>223</v>
      </c>
      <c r="C69" s="100">
        <v>35.659999999999997</v>
      </c>
    </row>
    <row r="70" spans="1:3" x14ac:dyDescent="0.35">
      <c r="A70" s="174">
        <v>2022</v>
      </c>
      <c r="B70" t="s">
        <v>224</v>
      </c>
      <c r="C70" s="100">
        <v>42.01</v>
      </c>
    </row>
    <row r="71" spans="1:3" x14ac:dyDescent="0.35">
      <c r="A71" s="174">
        <v>2022</v>
      </c>
      <c r="B71" t="s">
        <v>225</v>
      </c>
      <c r="C71" s="100">
        <v>149.82</v>
      </c>
    </row>
    <row r="72" spans="1:3" x14ac:dyDescent="0.35">
      <c r="A72" s="174">
        <v>2022</v>
      </c>
      <c r="B72" t="s">
        <v>226</v>
      </c>
      <c r="C72" s="100">
        <v>26.29</v>
      </c>
    </row>
    <row r="73" spans="1:3" x14ac:dyDescent="0.35">
      <c r="A73" s="174">
        <v>2022</v>
      </c>
      <c r="B73" t="s">
        <v>227</v>
      </c>
      <c r="C73" s="100">
        <v>70.2</v>
      </c>
    </row>
    <row r="74" spans="1:3" x14ac:dyDescent="0.35">
      <c r="A74" s="174">
        <v>2023</v>
      </c>
      <c r="B74" t="s">
        <v>230</v>
      </c>
      <c r="C74" s="100">
        <v>17.489999999999998</v>
      </c>
    </row>
    <row r="75" spans="1:3" x14ac:dyDescent="0.35">
      <c r="A75" s="174">
        <v>2023</v>
      </c>
      <c r="B75" t="s">
        <v>221</v>
      </c>
      <c r="C75" s="100">
        <v>38.1</v>
      </c>
    </row>
    <row r="76" spans="1:3" x14ac:dyDescent="0.35">
      <c r="A76" s="174">
        <v>2023</v>
      </c>
      <c r="B76" t="s">
        <v>223</v>
      </c>
      <c r="C76" s="100">
        <v>35.82</v>
      </c>
    </row>
    <row r="77" spans="1:3" x14ac:dyDescent="0.35">
      <c r="A77" s="174">
        <v>2023</v>
      </c>
      <c r="B77" t="s">
        <v>224</v>
      </c>
      <c r="C77" s="100">
        <v>42.93</v>
      </c>
    </row>
    <row r="78" spans="1:3" x14ac:dyDescent="0.35">
      <c r="A78" s="174">
        <v>2023</v>
      </c>
      <c r="B78" t="s">
        <v>225</v>
      </c>
      <c r="C78" s="100">
        <v>167.59</v>
      </c>
    </row>
    <row r="79" spans="1:3" x14ac:dyDescent="0.35">
      <c r="A79" s="174">
        <v>2023</v>
      </c>
      <c r="B79" t="s">
        <v>226</v>
      </c>
      <c r="C79" s="100">
        <v>29.2</v>
      </c>
    </row>
    <row r="80" spans="1:3" x14ac:dyDescent="0.35">
      <c r="A80" s="175">
        <v>2023</v>
      </c>
      <c r="B80" s="10" t="s">
        <v>227</v>
      </c>
      <c r="C80" s="101">
        <v>77.459999999999994</v>
      </c>
    </row>
    <row r="82" spans="1:1" x14ac:dyDescent="0.35">
      <c r="A82" s="172" t="s">
        <v>63</v>
      </c>
    </row>
    <row r="84" spans="1:1" x14ac:dyDescent="0.35">
      <c r="A84" s="172" t="s">
        <v>191</v>
      </c>
    </row>
    <row r="85" spans="1:1" x14ac:dyDescent="0.35">
      <c r="A85" s="172" t="s">
        <v>192</v>
      </c>
    </row>
    <row r="87" spans="1:1" x14ac:dyDescent="0.35">
      <c r="A87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20"/>
  <sheetViews>
    <sheetView workbookViewId="0"/>
  </sheetViews>
  <sheetFormatPr defaultColWidth="10.90625" defaultRowHeight="14.5" x14ac:dyDescent="0.35"/>
  <cols>
    <col min="1" max="1" width="72.7265625" customWidth="1"/>
    <col min="2" max="2" width="25.7265625" customWidth="1"/>
    <col min="3" max="3" width="30.7265625" customWidth="1"/>
    <col min="4" max="4" width="10.7265625" customWidth="1"/>
  </cols>
  <sheetData>
    <row r="1" spans="1:4" x14ac:dyDescent="0.35">
      <c r="A1" t="s">
        <v>246</v>
      </c>
    </row>
    <row r="3" spans="1:4" x14ac:dyDescent="0.35">
      <c r="A3" s="5" t="s">
        <v>247</v>
      </c>
      <c r="B3" s="4" t="s">
        <v>206</v>
      </c>
      <c r="C3" s="4" t="s">
        <v>248</v>
      </c>
      <c r="D3" s="6" t="s">
        <v>249</v>
      </c>
    </row>
    <row r="4" spans="1:4" x14ac:dyDescent="0.35">
      <c r="A4" s="2" t="s">
        <v>250</v>
      </c>
      <c r="B4" s="102">
        <v>980</v>
      </c>
      <c r="C4" s="102">
        <v>3494.7</v>
      </c>
      <c r="D4" s="103">
        <v>0.443</v>
      </c>
    </row>
    <row r="5" spans="1:4" x14ac:dyDescent="0.35">
      <c r="A5" s="2" t="s">
        <v>174</v>
      </c>
      <c r="B5" s="102">
        <v>526.79999999999995</v>
      </c>
      <c r="C5" s="102">
        <v>2195.9</v>
      </c>
      <c r="D5" s="103">
        <v>0.27800000000000002</v>
      </c>
    </row>
    <row r="6" spans="1:4" x14ac:dyDescent="0.35">
      <c r="A6" s="2" t="s">
        <v>129</v>
      </c>
      <c r="B6" s="102">
        <v>540.5</v>
      </c>
      <c r="C6" s="102">
        <v>1994.2</v>
      </c>
      <c r="D6" s="103">
        <v>0.253</v>
      </c>
    </row>
    <row r="7" spans="1:4" x14ac:dyDescent="0.35">
      <c r="A7" s="2" t="s">
        <v>251</v>
      </c>
      <c r="B7" s="102">
        <v>42.1</v>
      </c>
      <c r="C7" s="102">
        <v>85.9</v>
      </c>
      <c r="D7" s="103">
        <v>1.0999999999999999E-2</v>
      </c>
    </row>
    <row r="8" spans="1:4" x14ac:dyDescent="0.35">
      <c r="A8" s="2" t="s">
        <v>144</v>
      </c>
      <c r="B8" s="102">
        <v>12.6</v>
      </c>
      <c r="C8" s="102">
        <v>47.7</v>
      </c>
      <c r="D8" s="103">
        <v>6.0000000000000001E-3</v>
      </c>
    </row>
    <row r="9" spans="1:4" x14ac:dyDescent="0.35">
      <c r="A9" s="2" t="s">
        <v>176</v>
      </c>
      <c r="B9" s="102">
        <v>17.899999999999999</v>
      </c>
      <c r="C9" s="102">
        <v>26.4</v>
      </c>
      <c r="D9" s="103">
        <v>3.0000000000000001E-3</v>
      </c>
    </row>
    <row r="10" spans="1:4" x14ac:dyDescent="0.35">
      <c r="A10" s="2" t="s">
        <v>252</v>
      </c>
      <c r="B10" s="102">
        <v>17.2</v>
      </c>
      <c r="C10" s="102">
        <v>22.5</v>
      </c>
      <c r="D10" s="103">
        <v>3.0000000000000001E-3</v>
      </c>
    </row>
    <row r="11" spans="1:4" x14ac:dyDescent="0.35">
      <c r="A11" s="2" t="s">
        <v>175</v>
      </c>
      <c r="B11" s="102">
        <v>4</v>
      </c>
      <c r="C11" s="102">
        <v>7.6</v>
      </c>
      <c r="D11" s="103">
        <v>1E-3</v>
      </c>
    </row>
    <row r="12" spans="1:4" x14ac:dyDescent="0.35">
      <c r="A12" s="2" t="s">
        <v>130</v>
      </c>
      <c r="B12" s="102">
        <v>5.2</v>
      </c>
      <c r="C12" s="102">
        <v>6.9</v>
      </c>
      <c r="D12" s="103">
        <v>1E-3</v>
      </c>
    </row>
    <row r="13" spans="1:4" x14ac:dyDescent="0.35">
      <c r="A13" s="8" t="s">
        <v>253</v>
      </c>
      <c r="B13" s="104">
        <v>1.9</v>
      </c>
      <c r="C13" s="104">
        <v>3.6</v>
      </c>
      <c r="D13" s="105">
        <v>0</v>
      </c>
    </row>
    <row r="15" spans="1:4" x14ac:dyDescent="0.35">
      <c r="A15" t="s">
        <v>63</v>
      </c>
    </row>
    <row r="17" spans="1:1" x14ac:dyDescent="0.35">
      <c r="A17" t="s">
        <v>191</v>
      </c>
    </row>
    <row r="18" spans="1:1" x14ac:dyDescent="0.35">
      <c r="A18" t="s">
        <v>192</v>
      </c>
    </row>
    <row r="20" spans="1:1" x14ac:dyDescent="0.35">
      <c r="A2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30"/>
  <sheetViews>
    <sheetView workbookViewId="0"/>
  </sheetViews>
  <sheetFormatPr defaultColWidth="10.90625" defaultRowHeight="14.5" x14ac:dyDescent="0.35"/>
  <cols>
    <col min="1" max="1" width="23.7265625" customWidth="1"/>
    <col min="2" max="2" width="84.7265625" customWidth="1"/>
    <col min="3" max="3" width="25.7265625" customWidth="1"/>
    <col min="4" max="4" width="24.7265625" customWidth="1"/>
    <col min="5" max="5" width="53.7265625" customWidth="1"/>
  </cols>
  <sheetData>
    <row r="1" spans="1:5" x14ac:dyDescent="0.35">
      <c r="A1" t="s">
        <v>254</v>
      </c>
    </row>
    <row r="3" spans="1:5" x14ac:dyDescent="0.35">
      <c r="A3" s="5" t="s">
        <v>255</v>
      </c>
      <c r="B3" s="4" t="s">
        <v>256</v>
      </c>
      <c r="C3" s="4" t="s">
        <v>146</v>
      </c>
      <c r="D3" s="4" t="s">
        <v>257</v>
      </c>
      <c r="E3" s="6" t="s">
        <v>258</v>
      </c>
    </row>
    <row r="4" spans="1:5" x14ac:dyDescent="0.35">
      <c r="A4" s="2" t="s">
        <v>259</v>
      </c>
      <c r="B4" t="s">
        <v>260</v>
      </c>
      <c r="C4" s="106">
        <v>1732.2</v>
      </c>
      <c r="D4" s="107">
        <v>0.56200000000000006</v>
      </c>
      <c r="E4" s="108">
        <v>0.189</v>
      </c>
    </row>
    <row r="5" spans="1:5" x14ac:dyDescent="0.35">
      <c r="A5" s="2" t="s">
        <v>261</v>
      </c>
      <c r="B5" t="s">
        <v>262</v>
      </c>
      <c r="C5" s="106">
        <v>690.9</v>
      </c>
      <c r="D5" s="107">
        <v>0.224</v>
      </c>
      <c r="E5" s="108">
        <v>0.13300000000000001</v>
      </c>
    </row>
    <row r="6" spans="1:5" x14ac:dyDescent="0.35">
      <c r="A6" s="2" t="s">
        <v>263</v>
      </c>
      <c r="B6" t="s">
        <v>264</v>
      </c>
      <c r="C6" s="106">
        <v>188</v>
      </c>
      <c r="D6" s="107">
        <v>6.0999999999999999E-2</v>
      </c>
      <c r="E6" s="108">
        <v>0.35299999999999998</v>
      </c>
    </row>
    <row r="7" spans="1:5" x14ac:dyDescent="0.35">
      <c r="A7" s="2" t="s">
        <v>265</v>
      </c>
      <c r="B7" t="s">
        <v>266</v>
      </c>
      <c r="C7" s="106">
        <v>43.8</v>
      </c>
      <c r="D7" s="107">
        <v>1.4E-2</v>
      </c>
      <c r="E7" s="108">
        <v>0.28499999999999998</v>
      </c>
    </row>
    <row r="8" spans="1:5" x14ac:dyDescent="0.35">
      <c r="A8" s="2" t="s">
        <v>267</v>
      </c>
      <c r="B8" t="s">
        <v>268</v>
      </c>
      <c r="C8" s="106">
        <v>21.1</v>
      </c>
      <c r="D8" s="107">
        <v>7.0000000000000001E-3</v>
      </c>
      <c r="E8" s="108">
        <v>0.33800000000000002</v>
      </c>
    </row>
    <row r="9" spans="1:5" x14ac:dyDescent="0.35">
      <c r="A9" s="2" t="s">
        <v>269</v>
      </c>
      <c r="B9" t="s">
        <v>270</v>
      </c>
      <c r="C9" s="106">
        <v>15.3</v>
      </c>
      <c r="D9" s="107">
        <v>5.0000000000000001E-3</v>
      </c>
      <c r="E9" s="108">
        <v>0.38400000000000001</v>
      </c>
    </row>
    <row r="10" spans="1:5" x14ac:dyDescent="0.35">
      <c r="A10" s="2" t="s">
        <v>271</v>
      </c>
      <c r="B10" t="s">
        <v>272</v>
      </c>
      <c r="C10" s="106">
        <v>14.7</v>
      </c>
      <c r="D10" s="107">
        <v>5.0000000000000001E-3</v>
      </c>
      <c r="E10" s="108">
        <v>0.23799999999999999</v>
      </c>
    </row>
    <row r="11" spans="1:5" x14ac:dyDescent="0.35">
      <c r="A11" s="2" t="s">
        <v>273</v>
      </c>
      <c r="B11" t="s">
        <v>274</v>
      </c>
      <c r="C11" s="106">
        <v>14</v>
      </c>
      <c r="D11" s="107">
        <v>5.0000000000000001E-3</v>
      </c>
      <c r="E11" s="108">
        <v>0.20499999999999999</v>
      </c>
    </row>
    <row r="12" spans="1:5" x14ac:dyDescent="0.35">
      <c r="A12" s="2" t="s">
        <v>275</v>
      </c>
      <c r="B12" t="s">
        <v>276</v>
      </c>
      <c r="C12" s="106">
        <v>12.5</v>
      </c>
      <c r="D12" s="107">
        <v>4.0000000000000001E-3</v>
      </c>
      <c r="E12" s="108">
        <v>0.16800000000000001</v>
      </c>
    </row>
    <row r="13" spans="1:5" x14ac:dyDescent="0.35">
      <c r="A13" s="2" t="s">
        <v>277</v>
      </c>
      <c r="B13" t="s">
        <v>278</v>
      </c>
      <c r="C13" s="106">
        <v>12.1</v>
      </c>
      <c r="D13" s="107">
        <v>4.0000000000000001E-3</v>
      </c>
      <c r="E13" s="108">
        <v>0.24099999999999999</v>
      </c>
    </row>
    <row r="14" spans="1:5" x14ac:dyDescent="0.35">
      <c r="A14" s="2" t="s">
        <v>279</v>
      </c>
      <c r="B14" t="s">
        <v>280</v>
      </c>
      <c r="C14" s="106">
        <v>11.3</v>
      </c>
      <c r="D14" s="107">
        <v>4.0000000000000001E-3</v>
      </c>
      <c r="E14" s="108">
        <v>0.23300000000000001</v>
      </c>
    </row>
    <row r="15" spans="1:5" x14ac:dyDescent="0.35">
      <c r="A15" s="2" t="s">
        <v>281</v>
      </c>
      <c r="B15" t="s">
        <v>282</v>
      </c>
      <c r="C15" s="106">
        <v>10.9</v>
      </c>
      <c r="D15" s="107">
        <v>4.0000000000000001E-3</v>
      </c>
      <c r="E15" s="108">
        <v>0.40200000000000002</v>
      </c>
    </row>
    <row r="16" spans="1:5" x14ac:dyDescent="0.35">
      <c r="A16" s="2" t="s">
        <v>283</v>
      </c>
      <c r="B16" t="s">
        <v>284</v>
      </c>
      <c r="C16" s="106">
        <v>10.8</v>
      </c>
      <c r="D16" s="107">
        <v>3.0000000000000001E-3</v>
      </c>
      <c r="E16" s="108">
        <v>0.24399999999999999</v>
      </c>
    </row>
    <row r="17" spans="1:5" x14ac:dyDescent="0.35">
      <c r="A17" s="2" t="s">
        <v>285</v>
      </c>
      <c r="B17" t="s">
        <v>286</v>
      </c>
      <c r="C17" s="106">
        <v>8.9</v>
      </c>
      <c r="D17" s="107">
        <v>3.0000000000000001E-3</v>
      </c>
      <c r="E17" s="108">
        <v>0.26700000000000002</v>
      </c>
    </row>
    <row r="18" spans="1:5" x14ac:dyDescent="0.35">
      <c r="A18" s="2" t="s">
        <v>287</v>
      </c>
      <c r="B18" t="s">
        <v>288</v>
      </c>
      <c r="C18" s="106">
        <v>8.5</v>
      </c>
      <c r="D18" s="107">
        <v>3.0000000000000001E-3</v>
      </c>
      <c r="E18" s="108">
        <v>0.247</v>
      </c>
    </row>
    <row r="19" spans="1:5" x14ac:dyDescent="0.35">
      <c r="A19" s="2" t="s">
        <v>289</v>
      </c>
      <c r="B19" t="s">
        <v>290</v>
      </c>
      <c r="C19" s="106">
        <v>7</v>
      </c>
      <c r="D19" s="107">
        <v>2E-3</v>
      </c>
      <c r="E19" s="108">
        <v>0.23200000000000001</v>
      </c>
    </row>
    <row r="20" spans="1:5" x14ac:dyDescent="0.35">
      <c r="A20" s="2" t="s">
        <v>291</v>
      </c>
      <c r="B20" t="s">
        <v>292</v>
      </c>
      <c r="C20" s="106">
        <v>7</v>
      </c>
      <c r="D20" s="107">
        <v>2E-3</v>
      </c>
      <c r="E20" s="108">
        <v>0.30099999999999999</v>
      </c>
    </row>
    <row r="21" spans="1:5" x14ac:dyDescent="0.35">
      <c r="A21" s="2" t="s">
        <v>293</v>
      </c>
      <c r="B21" t="s">
        <v>294</v>
      </c>
      <c r="C21" s="106">
        <v>6.9</v>
      </c>
      <c r="D21" s="107">
        <v>2E-3</v>
      </c>
      <c r="E21" s="108">
        <v>0.28199999999999997</v>
      </c>
    </row>
    <row r="22" spans="1:5" x14ac:dyDescent="0.35">
      <c r="A22" s="2" t="s">
        <v>295</v>
      </c>
      <c r="B22" t="s">
        <v>296</v>
      </c>
      <c r="C22" s="106">
        <v>6.5</v>
      </c>
      <c r="D22" s="107">
        <v>2E-3</v>
      </c>
      <c r="E22" s="108">
        <v>0.35399999999999998</v>
      </c>
    </row>
    <row r="23" spans="1:5" x14ac:dyDescent="0.35">
      <c r="A23" s="8" t="s">
        <v>297</v>
      </c>
      <c r="B23" s="10" t="s">
        <v>298</v>
      </c>
      <c r="C23" s="109">
        <v>6.2</v>
      </c>
      <c r="D23" s="110">
        <v>2E-3</v>
      </c>
      <c r="E23" s="111">
        <v>0.23400000000000001</v>
      </c>
    </row>
    <row r="25" spans="1:5" x14ac:dyDescent="0.35">
      <c r="A25" t="s">
        <v>63</v>
      </c>
    </row>
    <row r="27" spans="1:5" x14ac:dyDescent="0.35">
      <c r="A27" t="s">
        <v>191</v>
      </c>
    </row>
    <row r="28" spans="1:5" x14ac:dyDescent="0.35">
      <c r="A28" t="s">
        <v>192</v>
      </c>
    </row>
    <row r="30" spans="1:5" x14ac:dyDescent="0.35">
      <c r="A30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78"/>
  <sheetViews>
    <sheetView workbookViewId="0">
      <selection activeCell="B30" sqref="B30"/>
    </sheetView>
  </sheetViews>
  <sheetFormatPr defaultColWidth="10.90625" defaultRowHeight="14.5" x14ac:dyDescent="0.35"/>
  <cols>
    <col min="1" max="1" width="23.7265625" customWidth="1"/>
    <col min="2" max="2" width="157.7265625" customWidth="1"/>
    <col min="3" max="3" width="25.7265625" customWidth="1"/>
    <col min="4" max="4" width="36.7265625" customWidth="1"/>
  </cols>
  <sheetData>
    <row r="1" spans="1:4" x14ac:dyDescent="0.35">
      <c r="A1" t="s">
        <v>299</v>
      </c>
    </row>
    <row r="3" spans="1:4" x14ac:dyDescent="0.35">
      <c r="A3" s="5" t="s">
        <v>255</v>
      </c>
      <c r="B3" s="4" t="s">
        <v>256</v>
      </c>
      <c r="C3" s="4" t="s">
        <v>146</v>
      </c>
      <c r="D3" s="6" t="s">
        <v>300</v>
      </c>
    </row>
    <row r="4" spans="1:4" x14ac:dyDescent="0.35">
      <c r="A4" s="2" t="s">
        <v>301</v>
      </c>
      <c r="B4" t="s">
        <v>302</v>
      </c>
      <c r="C4" s="112">
        <v>367.2</v>
      </c>
      <c r="D4" s="113">
        <v>0.21199999999999999</v>
      </c>
    </row>
    <row r="5" spans="1:4" x14ac:dyDescent="0.35">
      <c r="A5" s="2" t="s">
        <v>303</v>
      </c>
      <c r="B5" t="s">
        <v>304</v>
      </c>
      <c r="C5" s="112">
        <v>284.5</v>
      </c>
      <c r="D5" s="113">
        <v>0.16400000000000001</v>
      </c>
    </row>
    <row r="6" spans="1:4" x14ac:dyDescent="0.35">
      <c r="A6" s="2" t="s">
        <v>305</v>
      </c>
      <c r="B6" t="s">
        <v>306</v>
      </c>
      <c r="C6" s="112">
        <v>263</v>
      </c>
      <c r="D6" s="113">
        <v>0.152</v>
      </c>
    </row>
    <row r="7" spans="1:4" x14ac:dyDescent="0.35">
      <c r="A7" s="2" t="s">
        <v>307</v>
      </c>
      <c r="B7" t="s">
        <v>308</v>
      </c>
      <c r="C7" s="112">
        <v>160.69999999999999</v>
      </c>
      <c r="D7" s="113">
        <v>9.2999999999999999E-2</v>
      </c>
    </row>
    <row r="8" spans="1:4" x14ac:dyDescent="0.35">
      <c r="A8" s="2" t="s">
        <v>309</v>
      </c>
      <c r="B8" t="s">
        <v>310</v>
      </c>
      <c r="C8" s="112">
        <v>140.9</v>
      </c>
      <c r="D8" s="113">
        <v>8.1000000000000003E-2</v>
      </c>
    </row>
    <row r="9" spans="1:4" x14ac:dyDescent="0.35">
      <c r="A9" s="2" t="s">
        <v>311</v>
      </c>
      <c r="B9" t="s">
        <v>312</v>
      </c>
      <c r="C9" s="112">
        <v>85.3</v>
      </c>
      <c r="D9" s="113">
        <v>4.9000000000000002E-2</v>
      </c>
    </row>
    <row r="10" spans="1:4" x14ac:dyDescent="0.35">
      <c r="A10" s="2" t="s">
        <v>313</v>
      </c>
      <c r="B10" t="s">
        <v>314</v>
      </c>
      <c r="C10" s="112">
        <v>52.7</v>
      </c>
      <c r="D10" s="113">
        <v>0.03</v>
      </c>
    </row>
    <row r="11" spans="1:4" x14ac:dyDescent="0.35">
      <c r="A11" s="2" t="s">
        <v>315</v>
      </c>
      <c r="B11" t="s">
        <v>316</v>
      </c>
      <c r="C11" s="112">
        <v>48.4</v>
      </c>
      <c r="D11" s="113">
        <v>2.8000000000000001E-2</v>
      </c>
    </row>
    <row r="12" spans="1:4" x14ac:dyDescent="0.35">
      <c r="A12" s="2" t="s">
        <v>317</v>
      </c>
      <c r="B12" t="s">
        <v>318</v>
      </c>
      <c r="C12" s="112">
        <v>31</v>
      </c>
      <c r="D12" s="113">
        <v>1.7999999999999999E-2</v>
      </c>
    </row>
    <row r="13" spans="1:4" x14ac:dyDescent="0.35">
      <c r="A13" s="2" t="s">
        <v>319</v>
      </c>
      <c r="B13" t="s">
        <v>320</v>
      </c>
      <c r="C13" s="112">
        <v>26.4</v>
      </c>
      <c r="D13" s="113">
        <v>1.4999999999999999E-2</v>
      </c>
    </row>
    <row r="14" spans="1:4" x14ac:dyDescent="0.35">
      <c r="A14" s="2" t="s">
        <v>321</v>
      </c>
      <c r="B14" t="s">
        <v>322</v>
      </c>
      <c r="C14" s="112">
        <v>24.3</v>
      </c>
      <c r="D14" s="113">
        <v>1.4E-2</v>
      </c>
    </row>
    <row r="15" spans="1:4" x14ac:dyDescent="0.35">
      <c r="A15" s="2" t="s">
        <v>323</v>
      </c>
      <c r="B15" t="s">
        <v>324</v>
      </c>
      <c r="C15" s="112">
        <v>20</v>
      </c>
      <c r="D15" s="113">
        <v>1.2E-2</v>
      </c>
    </row>
    <row r="16" spans="1:4" x14ac:dyDescent="0.35">
      <c r="A16" s="2" t="s">
        <v>325</v>
      </c>
      <c r="B16" t="s">
        <v>326</v>
      </c>
      <c r="C16" s="112">
        <v>18.899999999999999</v>
      </c>
      <c r="D16" s="113">
        <v>1.0999999999999999E-2</v>
      </c>
    </row>
    <row r="17" spans="1:4" x14ac:dyDescent="0.35">
      <c r="A17" s="2" t="s">
        <v>327</v>
      </c>
      <c r="B17" t="s">
        <v>328</v>
      </c>
      <c r="C17" s="112">
        <v>16.600000000000001</v>
      </c>
      <c r="D17" s="113">
        <v>0.01</v>
      </c>
    </row>
    <row r="18" spans="1:4" x14ac:dyDescent="0.35">
      <c r="A18" s="2" t="s">
        <v>329</v>
      </c>
      <c r="B18" t="s">
        <v>330</v>
      </c>
      <c r="C18" s="112">
        <v>15.6</v>
      </c>
      <c r="D18" s="113">
        <v>8.9999999999999993E-3</v>
      </c>
    </row>
    <row r="19" spans="1:4" x14ac:dyDescent="0.35">
      <c r="A19" s="2" t="s">
        <v>331</v>
      </c>
      <c r="B19" t="s">
        <v>332</v>
      </c>
      <c r="C19" s="112">
        <v>15.4</v>
      </c>
      <c r="D19" s="113">
        <v>8.9999999999999993E-3</v>
      </c>
    </row>
    <row r="20" spans="1:4" x14ac:dyDescent="0.35">
      <c r="A20" s="2" t="s">
        <v>333</v>
      </c>
      <c r="B20" t="s">
        <v>334</v>
      </c>
      <c r="C20" s="112">
        <v>13.1</v>
      </c>
      <c r="D20" s="113">
        <v>8.0000000000000002E-3</v>
      </c>
    </row>
    <row r="21" spans="1:4" x14ac:dyDescent="0.35">
      <c r="A21" s="2" t="s">
        <v>335</v>
      </c>
      <c r="B21" t="s">
        <v>336</v>
      </c>
      <c r="C21" s="112">
        <v>13</v>
      </c>
      <c r="D21" s="113">
        <v>7.0000000000000001E-3</v>
      </c>
    </row>
    <row r="22" spans="1:4" x14ac:dyDescent="0.35">
      <c r="A22" s="2" t="s">
        <v>337</v>
      </c>
      <c r="B22" t="s">
        <v>338</v>
      </c>
      <c r="C22" s="112">
        <v>12.5</v>
      </c>
      <c r="D22" s="113">
        <v>7.0000000000000001E-3</v>
      </c>
    </row>
    <row r="23" spans="1:4" x14ac:dyDescent="0.35">
      <c r="A23" s="2" t="s">
        <v>339</v>
      </c>
      <c r="B23" t="s">
        <v>340</v>
      </c>
      <c r="C23" s="112">
        <v>12.1</v>
      </c>
      <c r="D23" s="113">
        <v>7.0000000000000001E-3</v>
      </c>
    </row>
    <row r="24" spans="1:4" x14ac:dyDescent="0.35">
      <c r="A24" s="2" t="s">
        <v>341</v>
      </c>
      <c r="B24" t="s">
        <v>342</v>
      </c>
      <c r="C24" s="112">
        <v>11.6</v>
      </c>
      <c r="D24" s="113">
        <v>7.0000000000000001E-3</v>
      </c>
    </row>
    <row r="25" spans="1:4" x14ac:dyDescent="0.35">
      <c r="A25" s="2" t="s">
        <v>343</v>
      </c>
      <c r="B25" t="s">
        <v>344</v>
      </c>
      <c r="C25" s="112">
        <v>10.199999999999999</v>
      </c>
      <c r="D25" s="113">
        <v>6.0000000000000001E-3</v>
      </c>
    </row>
    <row r="26" spans="1:4" x14ac:dyDescent="0.35">
      <c r="A26" s="2" t="s">
        <v>345</v>
      </c>
      <c r="B26" t="s">
        <v>346</v>
      </c>
      <c r="C26" s="112">
        <v>9.6</v>
      </c>
      <c r="D26" s="113">
        <v>6.0000000000000001E-3</v>
      </c>
    </row>
    <row r="27" spans="1:4" x14ac:dyDescent="0.35">
      <c r="A27" s="2" t="s">
        <v>347</v>
      </c>
      <c r="B27" t="s">
        <v>348</v>
      </c>
      <c r="C27" s="112">
        <v>8.1999999999999993</v>
      </c>
      <c r="D27" s="113">
        <v>5.0000000000000001E-3</v>
      </c>
    </row>
    <row r="28" spans="1:4" x14ac:dyDescent="0.35">
      <c r="A28" s="2" t="s">
        <v>349</v>
      </c>
      <c r="B28" t="s">
        <v>350</v>
      </c>
      <c r="C28" s="112">
        <v>8</v>
      </c>
      <c r="D28" s="113">
        <v>5.0000000000000001E-3</v>
      </c>
    </row>
    <row r="29" spans="1:4" x14ac:dyDescent="0.35">
      <c r="A29" s="2" t="s">
        <v>351</v>
      </c>
      <c r="B29" t="s">
        <v>352</v>
      </c>
      <c r="C29" s="112">
        <v>7.9</v>
      </c>
      <c r="D29" s="113">
        <v>5.0000000000000001E-3</v>
      </c>
    </row>
    <row r="30" spans="1:4" x14ac:dyDescent="0.35">
      <c r="A30" s="2" t="s">
        <v>353</v>
      </c>
      <c r="B30" t="s">
        <v>354</v>
      </c>
      <c r="C30" s="112">
        <v>7.2</v>
      </c>
      <c r="D30" s="113">
        <v>4.0000000000000001E-3</v>
      </c>
    </row>
    <row r="31" spans="1:4" x14ac:dyDescent="0.35">
      <c r="A31" s="2" t="s">
        <v>355</v>
      </c>
      <c r="B31" t="s">
        <v>356</v>
      </c>
      <c r="C31" s="112">
        <v>6.2</v>
      </c>
      <c r="D31" s="113">
        <v>4.0000000000000001E-3</v>
      </c>
    </row>
    <row r="32" spans="1:4" x14ac:dyDescent="0.35">
      <c r="A32" s="2" t="s">
        <v>357</v>
      </c>
      <c r="B32" t="s">
        <v>358</v>
      </c>
      <c r="C32" s="112">
        <v>4.4000000000000004</v>
      </c>
      <c r="D32" s="113">
        <v>3.0000000000000001E-3</v>
      </c>
    </row>
    <row r="33" spans="1:4" x14ac:dyDescent="0.35">
      <c r="A33" s="2" t="s">
        <v>359</v>
      </c>
      <c r="B33" t="s">
        <v>360</v>
      </c>
      <c r="C33" s="112">
        <v>4.2</v>
      </c>
      <c r="D33" s="113">
        <v>2E-3</v>
      </c>
    </row>
    <row r="34" spans="1:4" x14ac:dyDescent="0.35">
      <c r="A34" s="2" t="s">
        <v>361</v>
      </c>
      <c r="B34" t="s">
        <v>362</v>
      </c>
      <c r="C34" s="112">
        <v>3.9</v>
      </c>
      <c r="D34" s="113">
        <v>2E-3</v>
      </c>
    </row>
    <row r="35" spans="1:4" x14ac:dyDescent="0.35">
      <c r="A35" s="2" t="s">
        <v>363</v>
      </c>
      <c r="B35" t="s">
        <v>364</v>
      </c>
      <c r="C35" s="112">
        <v>3.8</v>
      </c>
      <c r="D35" s="113">
        <v>2E-3</v>
      </c>
    </row>
    <row r="36" spans="1:4" x14ac:dyDescent="0.35">
      <c r="A36" s="2" t="s">
        <v>365</v>
      </c>
      <c r="B36" t="s">
        <v>366</v>
      </c>
      <c r="C36" s="112">
        <v>3.1</v>
      </c>
      <c r="D36" s="113">
        <v>2E-3</v>
      </c>
    </row>
    <row r="37" spans="1:4" x14ac:dyDescent="0.35">
      <c r="A37" s="2" t="s">
        <v>367</v>
      </c>
      <c r="B37" t="s">
        <v>368</v>
      </c>
      <c r="C37" s="112">
        <v>2.9</v>
      </c>
      <c r="D37" s="113">
        <v>2E-3</v>
      </c>
    </row>
    <row r="38" spans="1:4" x14ac:dyDescent="0.35">
      <c r="A38" s="2" t="s">
        <v>369</v>
      </c>
      <c r="B38" t="s">
        <v>370</v>
      </c>
      <c r="C38" s="112">
        <v>2</v>
      </c>
      <c r="D38" s="113">
        <v>1E-3</v>
      </c>
    </row>
    <row r="39" spans="1:4" x14ac:dyDescent="0.35">
      <c r="A39" s="2" t="s">
        <v>371</v>
      </c>
      <c r="B39" t="s">
        <v>372</v>
      </c>
      <c r="C39" s="112">
        <v>1.8</v>
      </c>
      <c r="D39" s="113">
        <v>1E-3</v>
      </c>
    </row>
    <row r="40" spans="1:4" x14ac:dyDescent="0.35">
      <c r="A40" s="2" t="s">
        <v>373</v>
      </c>
      <c r="B40" t="s">
        <v>374</v>
      </c>
      <c r="C40" s="112">
        <v>1.7</v>
      </c>
      <c r="D40" s="113">
        <v>1E-3</v>
      </c>
    </row>
    <row r="41" spans="1:4" x14ac:dyDescent="0.35">
      <c r="A41" s="2" t="s">
        <v>375</v>
      </c>
      <c r="B41" t="s">
        <v>376</v>
      </c>
      <c r="C41" s="112">
        <v>1.7</v>
      </c>
      <c r="D41" s="113">
        <v>1E-3</v>
      </c>
    </row>
    <row r="42" spans="1:4" x14ac:dyDescent="0.35">
      <c r="A42" s="2" t="s">
        <v>377</v>
      </c>
      <c r="B42" t="s">
        <v>378</v>
      </c>
      <c r="C42" s="112">
        <v>1.4</v>
      </c>
      <c r="D42" s="113">
        <v>1E-3</v>
      </c>
    </row>
    <row r="43" spans="1:4" x14ac:dyDescent="0.35">
      <c r="A43" s="2" t="s">
        <v>379</v>
      </c>
      <c r="B43" t="s">
        <v>380</v>
      </c>
      <c r="C43" s="112">
        <v>1.4</v>
      </c>
      <c r="D43" s="113">
        <v>1E-3</v>
      </c>
    </row>
    <row r="44" spans="1:4" x14ac:dyDescent="0.35">
      <c r="A44" s="2" t="s">
        <v>381</v>
      </c>
      <c r="B44" t="s">
        <v>382</v>
      </c>
      <c r="C44" s="112">
        <v>1</v>
      </c>
      <c r="D44" s="113">
        <v>1E-3</v>
      </c>
    </row>
    <row r="45" spans="1:4" x14ac:dyDescent="0.35">
      <c r="A45" s="2" t="s">
        <v>383</v>
      </c>
      <c r="B45" t="s">
        <v>384</v>
      </c>
      <c r="C45" s="112">
        <v>1</v>
      </c>
      <c r="D45" s="113">
        <v>1E-3</v>
      </c>
    </row>
    <row r="46" spans="1:4" x14ac:dyDescent="0.35">
      <c r="A46" s="2" t="s">
        <v>385</v>
      </c>
      <c r="B46" t="s">
        <v>386</v>
      </c>
      <c r="C46" s="112">
        <v>0.8</v>
      </c>
      <c r="D46" s="113">
        <v>0</v>
      </c>
    </row>
    <row r="47" spans="1:4" x14ac:dyDescent="0.35">
      <c r="A47" s="2" t="s">
        <v>387</v>
      </c>
      <c r="B47" t="s">
        <v>388</v>
      </c>
      <c r="C47" s="112">
        <v>0.6</v>
      </c>
      <c r="D47" s="113">
        <v>0</v>
      </c>
    </row>
    <row r="48" spans="1:4" x14ac:dyDescent="0.35">
      <c r="A48" s="2" t="s">
        <v>389</v>
      </c>
      <c r="B48" t="s">
        <v>390</v>
      </c>
      <c r="C48" s="112">
        <v>0.6</v>
      </c>
      <c r="D48" s="113">
        <v>0</v>
      </c>
    </row>
    <row r="49" spans="1:4" x14ac:dyDescent="0.35">
      <c r="A49" s="2" t="s">
        <v>391</v>
      </c>
      <c r="B49" t="s">
        <v>392</v>
      </c>
      <c r="C49" s="112">
        <v>0.6</v>
      </c>
      <c r="D49" s="113">
        <v>0</v>
      </c>
    </row>
    <row r="50" spans="1:4" x14ac:dyDescent="0.35">
      <c r="A50" s="2" t="s">
        <v>393</v>
      </c>
      <c r="B50" t="s">
        <v>394</v>
      </c>
      <c r="C50" s="112">
        <v>0.5</v>
      </c>
      <c r="D50" s="113">
        <v>0</v>
      </c>
    </row>
    <row r="51" spans="1:4" x14ac:dyDescent="0.35">
      <c r="A51" s="2" t="s">
        <v>395</v>
      </c>
      <c r="B51" t="s">
        <v>396</v>
      </c>
      <c r="C51" s="112">
        <v>0.4</v>
      </c>
      <c r="D51" s="113">
        <v>0</v>
      </c>
    </row>
    <row r="52" spans="1:4" x14ac:dyDescent="0.35">
      <c r="A52" s="2" t="s">
        <v>397</v>
      </c>
      <c r="B52" t="s">
        <v>398</v>
      </c>
      <c r="C52" s="112">
        <v>0.4</v>
      </c>
      <c r="D52" s="113">
        <v>0</v>
      </c>
    </row>
    <row r="53" spans="1:4" x14ac:dyDescent="0.35">
      <c r="A53" s="2" t="s">
        <v>399</v>
      </c>
      <c r="B53" t="s">
        <v>400</v>
      </c>
      <c r="C53" s="112">
        <v>0.4</v>
      </c>
      <c r="D53" s="113">
        <v>0</v>
      </c>
    </row>
    <row r="54" spans="1:4" x14ac:dyDescent="0.35">
      <c r="A54" s="2" t="s">
        <v>401</v>
      </c>
      <c r="B54" t="s">
        <v>402</v>
      </c>
      <c r="C54" s="112">
        <v>0.3</v>
      </c>
      <c r="D54" s="113">
        <v>0</v>
      </c>
    </row>
    <row r="55" spans="1:4" x14ac:dyDescent="0.35">
      <c r="A55" s="2" t="s">
        <v>403</v>
      </c>
      <c r="B55" t="s">
        <v>404</v>
      </c>
      <c r="C55" s="112">
        <v>0.3</v>
      </c>
      <c r="D55" s="113">
        <v>0</v>
      </c>
    </row>
    <row r="56" spans="1:4" x14ac:dyDescent="0.35">
      <c r="A56" s="2" t="s">
        <v>405</v>
      </c>
      <c r="B56" t="s">
        <v>406</v>
      </c>
      <c r="C56" s="112">
        <v>0.3</v>
      </c>
      <c r="D56" s="113">
        <v>0</v>
      </c>
    </row>
    <row r="57" spans="1:4" x14ac:dyDescent="0.35">
      <c r="A57" s="2" t="s">
        <v>407</v>
      </c>
      <c r="B57" t="s">
        <v>408</v>
      </c>
      <c r="C57" s="112">
        <v>0.3</v>
      </c>
      <c r="D57" s="113">
        <v>0</v>
      </c>
    </row>
    <row r="58" spans="1:4" x14ac:dyDescent="0.35">
      <c r="A58" s="2" t="s">
        <v>409</v>
      </c>
      <c r="B58" t="s">
        <v>410</v>
      </c>
      <c r="C58" s="112">
        <v>0.2</v>
      </c>
      <c r="D58" s="113">
        <v>0</v>
      </c>
    </row>
    <row r="59" spans="1:4" x14ac:dyDescent="0.35">
      <c r="A59" s="2" t="s">
        <v>411</v>
      </c>
      <c r="B59" t="s">
        <v>412</v>
      </c>
      <c r="C59" s="112">
        <v>0.2</v>
      </c>
      <c r="D59" s="113">
        <v>0</v>
      </c>
    </row>
    <row r="60" spans="1:4" x14ac:dyDescent="0.35">
      <c r="A60" s="2" t="s">
        <v>413</v>
      </c>
      <c r="B60" t="s">
        <v>414</v>
      </c>
      <c r="C60" s="112">
        <v>0.2</v>
      </c>
      <c r="D60" s="113">
        <v>0</v>
      </c>
    </row>
    <row r="61" spans="1:4" x14ac:dyDescent="0.35">
      <c r="A61" s="2" t="s">
        <v>415</v>
      </c>
      <c r="B61" t="s">
        <v>416</v>
      </c>
      <c r="C61" s="112">
        <v>0.2</v>
      </c>
      <c r="D61" s="113">
        <v>0</v>
      </c>
    </row>
    <row r="62" spans="1:4" x14ac:dyDescent="0.35">
      <c r="A62" s="2" t="s">
        <v>417</v>
      </c>
      <c r="B62" t="s">
        <v>418</v>
      </c>
      <c r="C62" s="112">
        <v>0.2</v>
      </c>
      <c r="D62" s="113">
        <v>0</v>
      </c>
    </row>
    <row r="63" spans="1:4" x14ac:dyDescent="0.35">
      <c r="A63" s="2" t="s">
        <v>419</v>
      </c>
      <c r="B63" t="s">
        <v>420</v>
      </c>
      <c r="C63" s="112">
        <v>0.1</v>
      </c>
      <c r="D63" s="113">
        <v>0</v>
      </c>
    </row>
    <row r="64" spans="1:4" x14ac:dyDescent="0.35">
      <c r="A64" s="2" t="s">
        <v>421</v>
      </c>
      <c r="B64" t="s">
        <v>422</v>
      </c>
      <c r="C64" s="112">
        <v>0.1</v>
      </c>
      <c r="D64" s="113">
        <v>0</v>
      </c>
    </row>
    <row r="65" spans="1:4" x14ac:dyDescent="0.35">
      <c r="A65" s="2" t="s">
        <v>423</v>
      </c>
      <c r="B65" t="s">
        <v>424</v>
      </c>
      <c r="C65" s="112">
        <v>0.1</v>
      </c>
      <c r="D65" s="113">
        <v>0</v>
      </c>
    </row>
    <row r="66" spans="1:4" x14ac:dyDescent="0.35">
      <c r="A66" s="2" t="s">
        <v>425</v>
      </c>
      <c r="B66" t="s">
        <v>426</v>
      </c>
      <c r="C66" s="112">
        <v>0.1</v>
      </c>
      <c r="D66" s="113">
        <v>0</v>
      </c>
    </row>
    <row r="67" spans="1:4" x14ac:dyDescent="0.35">
      <c r="A67" s="2" t="s">
        <v>427</v>
      </c>
      <c r="B67" t="s">
        <v>428</v>
      </c>
      <c r="C67" s="112">
        <v>0.1</v>
      </c>
      <c r="D67" s="113">
        <v>0</v>
      </c>
    </row>
    <row r="68" spans="1:4" x14ac:dyDescent="0.35">
      <c r="A68" s="2" t="s">
        <v>429</v>
      </c>
      <c r="B68" t="s">
        <v>430</v>
      </c>
      <c r="C68" s="112">
        <v>0.1</v>
      </c>
      <c r="D68" s="113">
        <v>0</v>
      </c>
    </row>
    <row r="69" spans="1:4" x14ac:dyDescent="0.35">
      <c r="A69" s="2" t="s">
        <v>431</v>
      </c>
      <c r="B69" t="s">
        <v>432</v>
      </c>
      <c r="C69" s="112">
        <v>0.1</v>
      </c>
      <c r="D69" s="113">
        <v>0</v>
      </c>
    </row>
    <row r="70" spans="1:4" x14ac:dyDescent="0.35">
      <c r="A70" s="2" t="s">
        <v>433</v>
      </c>
      <c r="B70" t="s">
        <v>434</v>
      </c>
      <c r="C70" s="112">
        <v>0.1</v>
      </c>
      <c r="D70" s="113">
        <v>0</v>
      </c>
    </row>
    <row r="71" spans="1:4" x14ac:dyDescent="0.35">
      <c r="A71" s="8" t="s">
        <v>435</v>
      </c>
      <c r="B71" s="10" t="s">
        <v>436</v>
      </c>
      <c r="C71" s="114">
        <v>0.1</v>
      </c>
      <c r="D71" s="115">
        <v>0</v>
      </c>
    </row>
    <row r="73" spans="1:4" x14ac:dyDescent="0.35">
      <c r="A73" t="s">
        <v>63</v>
      </c>
    </row>
    <row r="75" spans="1:4" x14ac:dyDescent="0.35">
      <c r="A75" t="s">
        <v>191</v>
      </c>
    </row>
    <row r="76" spans="1:4" x14ac:dyDescent="0.35">
      <c r="A76" t="s">
        <v>192</v>
      </c>
    </row>
    <row r="78" spans="1:4" x14ac:dyDescent="0.35">
      <c r="A7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12"/>
  <sheetViews>
    <sheetView workbookViewId="0"/>
  </sheetViews>
  <sheetFormatPr defaultColWidth="10.90625" defaultRowHeight="14.5" x14ac:dyDescent="0.35"/>
  <cols>
    <col min="1" max="1" width="13.7265625" customWidth="1"/>
    <col min="2" max="2" width="150.7265625" customWidth="1"/>
    <col min="3" max="5" width="83.7265625" customWidth="1"/>
  </cols>
  <sheetData>
    <row r="1" spans="1:5" x14ac:dyDescent="0.35">
      <c r="A1" t="s">
        <v>437</v>
      </c>
    </row>
    <row r="3" spans="1:5" x14ac:dyDescent="0.35">
      <c r="A3" s="5" t="s">
        <v>438</v>
      </c>
      <c r="B3" s="4" t="s">
        <v>530</v>
      </c>
      <c r="C3" s="4" t="s">
        <v>439</v>
      </c>
      <c r="D3" s="4" t="s">
        <v>440</v>
      </c>
      <c r="E3" s="6" t="s">
        <v>441</v>
      </c>
    </row>
    <row r="4" spans="1:5" x14ac:dyDescent="0.35">
      <c r="A4" s="2" t="s">
        <v>442</v>
      </c>
      <c r="B4" s="197">
        <v>912910</v>
      </c>
      <c r="C4" s="197">
        <v>127079</v>
      </c>
      <c r="D4" s="197">
        <v>74597</v>
      </c>
      <c r="E4" s="198">
        <v>53620</v>
      </c>
    </row>
    <row r="5" spans="1:5" x14ac:dyDescent="0.35">
      <c r="A5" s="8" t="s">
        <v>443</v>
      </c>
      <c r="B5" s="199">
        <v>827758</v>
      </c>
      <c r="C5" s="199">
        <v>700679</v>
      </c>
      <c r="D5" s="199">
        <v>626082</v>
      </c>
      <c r="E5" s="200">
        <v>572462</v>
      </c>
    </row>
    <row r="7" spans="1:5" x14ac:dyDescent="0.35">
      <c r="A7" t="s">
        <v>63</v>
      </c>
    </row>
    <row r="9" spans="1:5" x14ac:dyDescent="0.35">
      <c r="A9" t="s">
        <v>191</v>
      </c>
    </row>
    <row r="10" spans="1:5" x14ac:dyDescent="0.35">
      <c r="A10" t="s">
        <v>192</v>
      </c>
    </row>
    <row r="12" spans="1:5" x14ac:dyDescent="0.35">
      <c r="A1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9"/>
  <sheetViews>
    <sheetView workbookViewId="0"/>
  </sheetViews>
  <sheetFormatPr defaultColWidth="10.90625" defaultRowHeight="14.5" x14ac:dyDescent="0.35"/>
  <cols>
    <col min="1" max="1" width="17.7265625" customWidth="1"/>
    <col min="2" max="2" width="18.7265625" customWidth="1"/>
    <col min="3" max="4" width="42.7265625" customWidth="1"/>
  </cols>
  <sheetData>
    <row r="1" spans="1:4" x14ac:dyDescent="0.35">
      <c r="A1" t="s">
        <v>47</v>
      </c>
    </row>
    <row r="3" spans="1:4" x14ac:dyDescent="0.35">
      <c r="A3" s="5" t="s">
        <v>2</v>
      </c>
      <c r="B3" s="4" t="s">
        <v>3</v>
      </c>
      <c r="C3" s="4" t="s">
        <v>4</v>
      </c>
      <c r="D3" s="6" t="s">
        <v>5</v>
      </c>
    </row>
    <row r="4" spans="1:4" x14ac:dyDescent="0.35">
      <c r="A4" s="2" t="s">
        <v>18</v>
      </c>
      <c r="B4" s="22">
        <v>7.4999999999999997E-2</v>
      </c>
      <c r="C4" s="22">
        <v>6.5000000000000002E-2</v>
      </c>
      <c r="D4" s="23">
        <v>8.5999999999999993E-2</v>
      </c>
    </row>
    <row r="5" spans="1:4" x14ac:dyDescent="0.35">
      <c r="A5" s="2" t="s">
        <v>34</v>
      </c>
      <c r="B5" s="22">
        <v>7.3999999999999996E-2</v>
      </c>
      <c r="C5" s="22">
        <v>6.7000000000000004E-2</v>
      </c>
      <c r="D5" s="23">
        <v>8.1000000000000003E-2</v>
      </c>
    </row>
    <row r="6" spans="1:4" x14ac:dyDescent="0.35">
      <c r="A6" s="2" t="s">
        <v>30</v>
      </c>
      <c r="B6" s="22">
        <v>7.1999999999999995E-2</v>
      </c>
      <c r="C6" s="22">
        <v>6.3E-2</v>
      </c>
      <c r="D6" s="23">
        <v>8.4000000000000005E-2</v>
      </c>
    </row>
    <row r="7" spans="1:4" x14ac:dyDescent="0.35">
      <c r="A7" s="2" t="s">
        <v>35</v>
      </c>
      <c r="B7" s="22">
        <v>6.2E-2</v>
      </c>
      <c r="C7" s="22">
        <v>5.6000000000000001E-2</v>
      </c>
      <c r="D7" s="23">
        <v>6.8000000000000005E-2</v>
      </c>
    </row>
    <row r="8" spans="1:4" x14ac:dyDescent="0.35">
      <c r="A8" s="2" t="s">
        <v>24</v>
      </c>
      <c r="B8" s="22">
        <v>6.0999999999999999E-2</v>
      </c>
      <c r="C8" s="22">
        <v>5.3999999999999999E-2</v>
      </c>
      <c r="D8" s="23">
        <v>7.0000000000000007E-2</v>
      </c>
    </row>
    <row r="9" spans="1:4" x14ac:dyDescent="0.35">
      <c r="A9" s="2" t="s">
        <v>13</v>
      </c>
      <c r="B9" s="22">
        <v>0.06</v>
      </c>
      <c r="C9" s="22">
        <v>5.1999999999999998E-2</v>
      </c>
      <c r="D9" s="23">
        <v>6.8000000000000005E-2</v>
      </c>
    </row>
    <row r="10" spans="1:4" x14ac:dyDescent="0.35">
      <c r="A10" s="2" t="s">
        <v>23</v>
      </c>
      <c r="B10" s="22">
        <v>5.8000000000000003E-2</v>
      </c>
      <c r="C10" s="22">
        <v>5.0999999999999997E-2</v>
      </c>
      <c r="D10" s="23">
        <v>6.5000000000000002E-2</v>
      </c>
    </row>
    <row r="11" spans="1:4" x14ac:dyDescent="0.35">
      <c r="A11" s="2" t="s">
        <v>22</v>
      </c>
      <c r="B11" s="22">
        <v>5.6000000000000001E-2</v>
      </c>
      <c r="C11" s="22">
        <v>5.0999999999999997E-2</v>
      </c>
      <c r="D11" s="23">
        <v>6.2E-2</v>
      </c>
    </row>
    <row r="12" spans="1:4" x14ac:dyDescent="0.35">
      <c r="A12" s="2" t="s">
        <v>15</v>
      </c>
      <c r="B12" s="22">
        <v>5.6000000000000001E-2</v>
      </c>
      <c r="C12" s="22">
        <v>0.05</v>
      </c>
      <c r="D12" s="23">
        <v>6.3E-2</v>
      </c>
    </row>
    <row r="13" spans="1:4" x14ac:dyDescent="0.35">
      <c r="A13" s="2" t="s">
        <v>21</v>
      </c>
      <c r="B13" s="22">
        <v>5.5E-2</v>
      </c>
      <c r="C13" s="22">
        <v>4.9000000000000002E-2</v>
      </c>
      <c r="D13" s="23">
        <v>6.2E-2</v>
      </c>
    </row>
    <row r="14" spans="1:4" x14ac:dyDescent="0.35">
      <c r="A14" s="2" t="s">
        <v>33</v>
      </c>
      <c r="B14" s="22">
        <v>5.5E-2</v>
      </c>
      <c r="C14" s="22">
        <v>4.8000000000000001E-2</v>
      </c>
      <c r="D14" s="23">
        <v>6.3E-2</v>
      </c>
    </row>
    <row r="15" spans="1:4" x14ac:dyDescent="0.35">
      <c r="A15" s="2" t="s">
        <v>16</v>
      </c>
      <c r="B15" s="22">
        <v>5.5E-2</v>
      </c>
      <c r="C15" s="22">
        <v>4.8000000000000001E-2</v>
      </c>
      <c r="D15" s="23">
        <v>6.2E-2</v>
      </c>
    </row>
    <row r="16" spans="1:4" x14ac:dyDescent="0.35">
      <c r="A16" s="2" t="s">
        <v>37</v>
      </c>
      <c r="B16" s="22">
        <v>5.3999999999999999E-2</v>
      </c>
      <c r="C16" s="22">
        <v>4.9000000000000002E-2</v>
      </c>
      <c r="D16" s="23">
        <v>0.06</v>
      </c>
    </row>
    <row r="17" spans="1:4" x14ac:dyDescent="0.35">
      <c r="A17" s="2" t="s">
        <v>36</v>
      </c>
      <c r="B17" s="22">
        <v>5.3999999999999999E-2</v>
      </c>
      <c r="C17" s="22">
        <v>4.8000000000000001E-2</v>
      </c>
      <c r="D17" s="23">
        <v>6.0999999999999999E-2</v>
      </c>
    </row>
    <row r="18" spans="1:4" x14ac:dyDescent="0.35">
      <c r="A18" s="2" t="s">
        <v>14</v>
      </c>
      <c r="B18" s="22">
        <v>5.3999999999999999E-2</v>
      </c>
      <c r="C18" s="22">
        <v>4.8000000000000001E-2</v>
      </c>
      <c r="D18" s="23">
        <v>5.8999999999999997E-2</v>
      </c>
    </row>
    <row r="19" spans="1:4" x14ac:dyDescent="0.35">
      <c r="A19" s="2" t="s">
        <v>12</v>
      </c>
      <c r="B19" s="22">
        <v>5.2999999999999999E-2</v>
      </c>
      <c r="C19" s="22">
        <v>4.5999999999999999E-2</v>
      </c>
      <c r="D19" s="23">
        <v>0.06</v>
      </c>
    </row>
    <row r="20" spans="1:4" x14ac:dyDescent="0.35">
      <c r="A20" s="2" t="s">
        <v>9</v>
      </c>
      <c r="B20" s="22">
        <v>5.0999999999999997E-2</v>
      </c>
      <c r="C20" s="22">
        <v>4.3999999999999997E-2</v>
      </c>
      <c r="D20" s="23">
        <v>5.8999999999999997E-2</v>
      </c>
    </row>
    <row r="21" spans="1:4" x14ac:dyDescent="0.35">
      <c r="A21" s="2" t="s">
        <v>27</v>
      </c>
      <c r="B21" s="22">
        <v>5.0999999999999997E-2</v>
      </c>
      <c r="C21" s="22">
        <v>4.3999999999999997E-2</v>
      </c>
      <c r="D21" s="23">
        <v>5.8000000000000003E-2</v>
      </c>
    </row>
    <row r="22" spans="1:4" x14ac:dyDescent="0.35">
      <c r="A22" s="2" t="s">
        <v>17</v>
      </c>
      <c r="B22" s="22">
        <v>4.9000000000000002E-2</v>
      </c>
      <c r="C22" s="22">
        <v>4.2999999999999997E-2</v>
      </c>
      <c r="D22" s="23">
        <v>5.6000000000000001E-2</v>
      </c>
    </row>
    <row r="23" spans="1:4" x14ac:dyDescent="0.35">
      <c r="A23" s="2" t="s">
        <v>7</v>
      </c>
      <c r="B23" s="22">
        <v>4.9000000000000002E-2</v>
      </c>
      <c r="C23" s="22">
        <v>4.2999999999999997E-2</v>
      </c>
      <c r="D23" s="23">
        <v>5.6000000000000001E-2</v>
      </c>
    </row>
    <row r="24" spans="1:4" x14ac:dyDescent="0.35">
      <c r="A24" s="2" t="s">
        <v>11</v>
      </c>
      <c r="B24" s="22">
        <v>4.8000000000000001E-2</v>
      </c>
      <c r="C24" s="22">
        <v>4.2000000000000003E-2</v>
      </c>
      <c r="D24" s="23">
        <v>5.5E-2</v>
      </c>
    </row>
    <row r="25" spans="1:4" x14ac:dyDescent="0.35">
      <c r="A25" s="2" t="s">
        <v>19</v>
      </c>
      <c r="B25" s="22">
        <v>4.8000000000000001E-2</v>
      </c>
      <c r="C25" s="22">
        <v>4.1000000000000002E-2</v>
      </c>
      <c r="D25" s="23">
        <v>5.5E-2</v>
      </c>
    </row>
    <row r="26" spans="1:4" x14ac:dyDescent="0.35">
      <c r="A26" s="2" t="s">
        <v>8</v>
      </c>
      <c r="B26" s="22">
        <v>4.7E-2</v>
      </c>
      <c r="C26" s="22">
        <v>4.1000000000000002E-2</v>
      </c>
      <c r="D26" s="23">
        <v>5.3999999999999999E-2</v>
      </c>
    </row>
    <row r="27" spans="1:4" x14ac:dyDescent="0.35">
      <c r="A27" s="2" t="s">
        <v>6</v>
      </c>
      <c r="B27" s="22">
        <v>4.7E-2</v>
      </c>
      <c r="C27" s="22">
        <v>4.1000000000000002E-2</v>
      </c>
      <c r="D27" s="23">
        <v>5.2999999999999999E-2</v>
      </c>
    </row>
    <row r="28" spans="1:4" x14ac:dyDescent="0.35">
      <c r="A28" s="2" t="s">
        <v>26</v>
      </c>
      <c r="B28" s="22">
        <v>4.7E-2</v>
      </c>
      <c r="C28" s="22">
        <v>0.04</v>
      </c>
      <c r="D28" s="23">
        <v>5.3999999999999999E-2</v>
      </c>
    </row>
    <row r="29" spans="1:4" x14ac:dyDescent="0.35">
      <c r="A29" s="2" t="s">
        <v>25</v>
      </c>
      <c r="B29" s="22">
        <v>4.5999999999999999E-2</v>
      </c>
      <c r="C29" s="22">
        <v>4.1000000000000002E-2</v>
      </c>
      <c r="D29" s="23">
        <v>5.1999999999999998E-2</v>
      </c>
    </row>
    <row r="30" spans="1:4" x14ac:dyDescent="0.35">
      <c r="A30" s="2" t="s">
        <v>10</v>
      </c>
      <c r="B30" s="22">
        <v>4.5999999999999999E-2</v>
      </c>
      <c r="C30" s="22">
        <v>3.9E-2</v>
      </c>
      <c r="D30" s="23">
        <v>5.3999999999999999E-2</v>
      </c>
    </row>
    <row r="31" spans="1:4" x14ac:dyDescent="0.35">
      <c r="A31" s="2" t="s">
        <v>32</v>
      </c>
      <c r="B31" s="22">
        <v>4.5999999999999999E-2</v>
      </c>
      <c r="C31" s="22">
        <v>0.04</v>
      </c>
      <c r="D31" s="23">
        <v>5.2999999999999999E-2</v>
      </c>
    </row>
    <row r="32" spans="1:4" x14ac:dyDescent="0.35">
      <c r="A32" s="2" t="s">
        <v>28</v>
      </c>
      <c r="B32" s="22">
        <v>4.2999999999999997E-2</v>
      </c>
      <c r="C32" s="22">
        <v>3.9E-2</v>
      </c>
      <c r="D32" s="23">
        <v>4.8000000000000001E-2</v>
      </c>
    </row>
    <row r="33" spans="1:4" x14ac:dyDescent="0.35">
      <c r="A33" s="2" t="s">
        <v>31</v>
      </c>
      <c r="B33" s="22">
        <v>4.2999999999999997E-2</v>
      </c>
      <c r="C33" s="22">
        <v>3.6999999999999998E-2</v>
      </c>
      <c r="D33" s="23">
        <v>0.05</v>
      </c>
    </row>
    <row r="34" spans="1:4" x14ac:dyDescent="0.35">
      <c r="A34" s="2" t="s">
        <v>20</v>
      </c>
      <c r="B34" s="22">
        <v>4.1000000000000002E-2</v>
      </c>
      <c r="C34" s="22">
        <v>3.5999999999999997E-2</v>
      </c>
      <c r="D34" s="23">
        <v>4.7E-2</v>
      </c>
    </row>
    <row r="35" spans="1:4" x14ac:dyDescent="0.35">
      <c r="A35" s="8" t="s">
        <v>29</v>
      </c>
      <c r="B35" s="24">
        <v>3.2000000000000001E-2</v>
      </c>
      <c r="C35" s="24">
        <v>2.9000000000000001E-2</v>
      </c>
      <c r="D35" s="25">
        <v>3.5999999999999997E-2</v>
      </c>
    </row>
    <row r="37" spans="1:4" x14ac:dyDescent="0.35">
      <c r="A37" t="s">
        <v>38</v>
      </c>
    </row>
    <row r="39" spans="1:4" x14ac:dyDescent="0.35">
      <c r="A3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60"/>
  <sheetViews>
    <sheetView workbookViewId="0"/>
  </sheetViews>
  <sheetFormatPr defaultColWidth="10.90625" defaultRowHeight="14.5" x14ac:dyDescent="0.35"/>
  <cols>
    <col min="1" max="1" width="6.7265625" style="172" customWidth="1"/>
    <col min="2" max="2" width="27.7265625" customWidth="1"/>
    <col min="3" max="3" width="26.7265625" customWidth="1"/>
    <col min="4" max="4" width="47.7265625" style="177" customWidth="1"/>
    <col min="5" max="5" width="27.7265625" customWidth="1"/>
  </cols>
  <sheetData>
    <row r="1" spans="1:5" x14ac:dyDescent="0.35">
      <c r="A1" s="172" t="s">
        <v>444</v>
      </c>
    </row>
    <row r="3" spans="1:5" x14ac:dyDescent="0.35">
      <c r="A3" s="173" t="s">
        <v>1</v>
      </c>
      <c r="B3" s="4" t="s">
        <v>229</v>
      </c>
      <c r="C3" s="4" t="s">
        <v>445</v>
      </c>
      <c r="D3" s="201" t="s">
        <v>446</v>
      </c>
      <c r="E3" s="6" t="s">
        <v>190</v>
      </c>
    </row>
    <row r="4" spans="1:5" x14ac:dyDescent="0.35">
      <c r="A4" s="174">
        <v>2019</v>
      </c>
      <c r="B4" t="s">
        <v>447</v>
      </c>
      <c r="C4" s="116">
        <v>3506.42</v>
      </c>
      <c r="D4" s="177">
        <v>0.15590000000000001</v>
      </c>
      <c r="E4" s="117">
        <v>515.71</v>
      </c>
    </row>
    <row r="5" spans="1:5" x14ac:dyDescent="0.35">
      <c r="A5" s="174">
        <v>2019</v>
      </c>
      <c r="B5" t="s">
        <v>448</v>
      </c>
      <c r="C5" s="116">
        <v>2555.1</v>
      </c>
      <c r="D5" s="177">
        <v>0.11360000000000001</v>
      </c>
      <c r="E5" s="117">
        <v>451.93</v>
      </c>
    </row>
    <row r="6" spans="1:5" x14ac:dyDescent="0.35">
      <c r="A6" s="174">
        <v>2019</v>
      </c>
      <c r="B6" t="s">
        <v>449</v>
      </c>
      <c r="C6" s="116">
        <v>2415.25</v>
      </c>
      <c r="D6" s="177">
        <v>0.1074</v>
      </c>
      <c r="E6" s="117">
        <v>258.14999999999998</v>
      </c>
    </row>
    <row r="7" spans="1:5" x14ac:dyDescent="0.35">
      <c r="A7" s="174">
        <v>2019</v>
      </c>
      <c r="B7" t="s">
        <v>450</v>
      </c>
      <c r="C7" s="116">
        <v>2047.81</v>
      </c>
      <c r="D7" s="177">
        <v>9.0999999999999998E-2</v>
      </c>
      <c r="E7" s="117">
        <v>523.83000000000004</v>
      </c>
    </row>
    <row r="8" spans="1:5" x14ac:dyDescent="0.35">
      <c r="A8" s="174">
        <v>2019</v>
      </c>
      <c r="B8" t="s">
        <v>451</v>
      </c>
      <c r="C8" s="116">
        <v>2032.84</v>
      </c>
      <c r="D8" s="177">
        <v>9.0399999999999994E-2</v>
      </c>
      <c r="E8" s="117">
        <v>536.61</v>
      </c>
    </row>
    <row r="9" spans="1:5" x14ac:dyDescent="0.35">
      <c r="A9" s="174">
        <v>2019</v>
      </c>
      <c r="B9" t="s">
        <v>452</v>
      </c>
      <c r="C9" s="116">
        <v>1425.87</v>
      </c>
      <c r="D9" s="177">
        <v>6.3399999999999998E-2</v>
      </c>
      <c r="E9" s="117">
        <v>241.16</v>
      </c>
    </row>
    <row r="10" spans="1:5" x14ac:dyDescent="0.35">
      <c r="A10" s="174">
        <v>2019</v>
      </c>
      <c r="B10" t="s">
        <v>453</v>
      </c>
      <c r="C10" s="116">
        <v>1339.43</v>
      </c>
      <c r="D10" s="177">
        <v>5.9499999999999997E-2</v>
      </c>
      <c r="E10" s="117">
        <v>181.88</v>
      </c>
    </row>
    <row r="11" spans="1:5" x14ac:dyDescent="0.35">
      <c r="A11" s="174">
        <v>2019</v>
      </c>
      <c r="B11" t="s">
        <v>454</v>
      </c>
      <c r="C11" s="116">
        <v>1335.83</v>
      </c>
      <c r="D11" s="177">
        <v>5.9400000000000001E-2</v>
      </c>
      <c r="E11" s="117">
        <v>214.04</v>
      </c>
    </row>
    <row r="12" spans="1:5" x14ac:dyDescent="0.35">
      <c r="A12" s="174">
        <v>2019</v>
      </c>
      <c r="B12" t="s">
        <v>455</v>
      </c>
      <c r="C12" s="116">
        <v>1212.1099999999999</v>
      </c>
      <c r="D12" s="177">
        <v>5.3900000000000003E-2</v>
      </c>
      <c r="E12" s="117">
        <v>177.04</v>
      </c>
    </row>
    <row r="13" spans="1:5" x14ac:dyDescent="0.35">
      <c r="A13" s="174">
        <v>2019</v>
      </c>
      <c r="B13" t="s">
        <v>456</v>
      </c>
      <c r="C13" s="116">
        <v>820.9</v>
      </c>
      <c r="D13" s="177">
        <v>3.6499999999999998E-2</v>
      </c>
      <c r="E13" s="117">
        <v>104.41</v>
      </c>
    </row>
    <row r="14" spans="1:5" x14ac:dyDescent="0.35">
      <c r="A14" s="174">
        <v>2020</v>
      </c>
      <c r="B14" t="s">
        <v>447</v>
      </c>
      <c r="C14" s="116">
        <v>3841.96</v>
      </c>
      <c r="D14" s="177">
        <v>0.15809999999999999</v>
      </c>
      <c r="E14" s="117">
        <v>528.69000000000005</v>
      </c>
    </row>
    <row r="15" spans="1:5" x14ac:dyDescent="0.35">
      <c r="A15" s="174">
        <v>2020</v>
      </c>
      <c r="B15" t="s">
        <v>448</v>
      </c>
      <c r="C15" s="116">
        <v>2910.33</v>
      </c>
      <c r="D15" s="177">
        <v>0.1198</v>
      </c>
      <c r="E15" s="117">
        <v>477.35</v>
      </c>
    </row>
    <row r="16" spans="1:5" x14ac:dyDescent="0.35">
      <c r="A16" s="174">
        <v>2020</v>
      </c>
      <c r="B16" t="s">
        <v>449</v>
      </c>
      <c r="C16" s="116">
        <v>2637.55</v>
      </c>
      <c r="D16" s="177">
        <v>0.1085</v>
      </c>
      <c r="E16" s="117">
        <v>261.64999999999998</v>
      </c>
    </row>
    <row r="17" spans="1:5" x14ac:dyDescent="0.35">
      <c r="A17" s="174">
        <v>2020</v>
      </c>
      <c r="B17" t="s">
        <v>451</v>
      </c>
      <c r="C17" s="116">
        <v>2341.98</v>
      </c>
      <c r="D17" s="177">
        <v>9.64E-2</v>
      </c>
      <c r="E17" s="117">
        <v>570.85</v>
      </c>
    </row>
    <row r="18" spans="1:5" x14ac:dyDescent="0.35">
      <c r="A18" s="174">
        <v>2020</v>
      </c>
      <c r="B18" t="s">
        <v>450</v>
      </c>
      <c r="C18" s="116">
        <v>1989.88</v>
      </c>
      <c r="D18" s="177">
        <v>8.1900000000000001E-2</v>
      </c>
      <c r="E18" s="117">
        <v>509.88</v>
      </c>
    </row>
    <row r="19" spans="1:5" x14ac:dyDescent="0.35">
      <c r="A19" s="174">
        <v>2020</v>
      </c>
      <c r="B19" t="s">
        <v>452</v>
      </c>
      <c r="C19" s="116">
        <v>1506.61</v>
      </c>
      <c r="D19" s="177">
        <v>6.2E-2</v>
      </c>
      <c r="E19" s="117">
        <v>234.97</v>
      </c>
    </row>
    <row r="20" spans="1:5" x14ac:dyDescent="0.35">
      <c r="A20" s="174">
        <v>2020</v>
      </c>
      <c r="B20" t="s">
        <v>454</v>
      </c>
      <c r="C20" s="116">
        <v>1416.02</v>
      </c>
      <c r="D20" s="177">
        <v>5.8299999999999998E-2</v>
      </c>
      <c r="E20" s="117">
        <v>209.78</v>
      </c>
    </row>
    <row r="21" spans="1:5" x14ac:dyDescent="0.35">
      <c r="A21" s="174">
        <v>2020</v>
      </c>
      <c r="B21" t="s">
        <v>453</v>
      </c>
      <c r="C21" s="116">
        <v>1350.39</v>
      </c>
      <c r="D21" s="177">
        <v>5.5599999999999997E-2</v>
      </c>
      <c r="E21" s="117">
        <v>167.37</v>
      </c>
    </row>
    <row r="22" spans="1:5" x14ac:dyDescent="0.35">
      <c r="A22" s="174">
        <v>2020</v>
      </c>
      <c r="B22" t="s">
        <v>455</v>
      </c>
      <c r="C22" s="116">
        <v>1260.58</v>
      </c>
      <c r="D22" s="177">
        <v>5.1900000000000002E-2</v>
      </c>
      <c r="E22" s="117">
        <v>174.81</v>
      </c>
    </row>
    <row r="23" spans="1:5" x14ac:dyDescent="0.35">
      <c r="A23" s="174">
        <v>2020</v>
      </c>
      <c r="B23" t="s">
        <v>457</v>
      </c>
      <c r="C23" s="116">
        <v>925.78</v>
      </c>
      <c r="D23" s="177">
        <v>3.8100000000000002E-2</v>
      </c>
      <c r="E23" s="117">
        <v>154.85</v>
      </c>
    </row>
    <row r="24" spans="1:5" x14ac:dyDescent="0.35">
      <c r="A24" s="174">
        <v>2021</v>
      </c>
      <c r="B24" t="s">
        <v>447</v>
      </c>
      <c r="C24" s="116">
        <v>4298.76</v>
      </c>
      <c r="D24" s="177">
        <v>0.1636</v>
      </c>
      <c r="E24" s="117">
        <v>602.46</v>
      </c>
    </row>
    <row r="25" spans="1:5" x14ac:dyDescent="0.35">
      <c r="A25" s="174">
        <v>2021</v>
      </c>
      <c r="B25" t="s">
        <v>448</v>
      </c>
      <c r="C25" s="116">
        <v>3350.3</v>
      </c>
      <c r="D25" s="177">
        <v>0.1275</v>
      </c>
      <c r="E25" s="117">
        <v>558.79999999999995</v>
      </c>
    </row>
    <row r="26" spans="1:5" x14ac:dyDescent="0.35">
      <c r="A26" s="174">
        <v>2021</v>
      </c>
      <c r="B26" t="s">
        <v>449</v>
      </c>
      <c r="C26" s="116">
        <v>2843.64</v>
      </c>
      <c r="D26" s="177">
        <v>0.1082</v>
      </c>
      <c r="E26" s="117">
        <v>284.22000000000003</v>
      </c>
    </row>
    <row r="27" spans="1:5" x14ac:dyDescent="0.35">
      <c r="A27" s="174">
        <v>2021</v>
      </c>
      <c r="B27" t="s">
        <v>451</v>
      </c>
      <c r="C27" s="116">
        <v>2621.25</v>
      </c>
      <c r="D27" s="177">
        <v>9.98E-2</v>
      </c>
      <c r="E27" s="117">
        <v>657.83</v>
      </c>
    </row>
    <row r="28" spans="1:5" x14ac:dyDescent="0.35">
      <c r="A28" s="174">
        <v>2021</v>
      </c>
      <c r="B28" t="s">
        <v>450</v>
      </c>
      <c r="C28" s="116">
        <v>1937.3</v>
      </c>
      <c r="D28" s="177">
        <v>7.3700000000000002E-2</v>
      </c>
      <c r="E28" s="117">
        <v>541.62</v>
      </c>
    </row>
    <row r="29" spans="1:5" x14ac:dyDescent="0.35">
      <c r="A29" s="174">
        <v>2021</v>
      </c>
      <c r="B29" t="s">
        <v>454</v>
      </c>
      <c r="C29" s="116">
        <v>1566.67</v>
      </c>
      <c r="D29" s="177">
        <v>5.96E-2</v>
      </c>
      <c r="E29" s="117">
        <v>234.06</v>
      </c>
    </row>
    <row r="30" spans="1:5" x14ac:dyDescent="0.35">
      <c r="A30" s="174">
        <v>2021</v>
      </c>
      <c r="B30" t="s">
        <v>452</v>
      </c>
      <c r="C30" s="116">
        <v>1534.77</v>
      </c>
      <c r="D30" s="177">
        <v>5.8400000000000001E-2</v>
      </c>
      <c r="E30" s="117">
        <v>242.44</v>
      </c>
    </row>
    <row r="31" spans="1:5" x14ac:dyDescent="0.35">
      <c r="A31" s="174">
        <v>2021</v>
      </c>
      <c r="B31" t="s">
        <v>455</v>
      </c>
      <c r="C31" s="116">
        <v>1324.74</v>
      </c>
      <c r="D31" s="177">
        <v>5.04E-2</v>
      </c>
      <c r="E31" s="117">
        <v>183.1</v>
      </c>
    </row>
    <row r="32" spans="1:5" x14ac:dyDescent="0.35">
      <c r="A32" s="174">
        <v>2021</v>
      </c>
      <c r="B32" t="s">
        <v>453</v>
      </c>
      <c r="C32" s="116">
        <v>1281.58</v>
      </c>
      <c r="D32" s="177">
        <v>4.8800000000000003E-2</v>
      </c>
      <c r="E32" s="117">
        <v>167.74</v>
      </c>
    </row>
    <row r="33" spans="1:5" x14ac:dyDescent="0.35">
      <c r="A33" s="174">
        <v>2021</v>
      </c>
      <c r="B33" t="s">
        <v>457</v>
      </c>
      <c r="C33" s="116">
        <v>1231.47</v>
      </c>
      <c r="D33" s="177">
        <v>4.6899999999999997E-2</v>
      </c>
      <c r="E33" s="117">
        <v>209.15</v>
      </c>
    </row>
    <row r="34" spans="1:5" x14ac:dyDescent="0.35">
      <c r="A34" s="174">
        <v>2022</v>
      </c>
      <c r="B34" t="s">
        <v>447</v>
      </c>
      <c r="C34" s="116">
        <v>4967.09</v>
      </c>
      <c r="D34" s="177">
        <v>0.17050000000000001</v>
      </c>
      <c r="E34" s="117">
        <v>691.1</v>
      </c>
    </row>
    <row r="35" spans="1:5" x14ac:dyDescent="0.35">
      <c r="A35" s="174">
        <v>2022</v>
      </c>
      <c r="B35" t="s">
        <v>448</v>
      </c>
      <c r="C35" s="116">
        <v>3876.54</v>
      </c>
      <c r="D35" s="177">
        <v>0.1331</v>
      </c>
      <c r="E35" s="117">
        <v>634.64</v>
      </c>
    </row>
    <row r="36" spans="1:5" x14ac:dyDescent="0.35">
      <c r="A36" s="174">
        <v>2022</v>
      </c>
      <c r="B36" t="s">
        <v>449</v>
      </c>
      <c r="C36" s="116">
        <v>3201.49</v>
      </c>
      <c r="D36" s="177">
        <v>0.1099</v>
      </c>
      <c r="E36" s="117">
        <v>313.61</v>
      </c>
    </row>
    <row r="37" spans="1:5" x14ac:dyDescent="0.35">
      <c r="A37" s="174">
        <v>2022</v>
      </c>
      <c r="B37" t="s">
        <v>451</v>
      </c>
      <c r="C37" s="116">
        <v>3061.67</v>
      </c>
      <c r="D37" s="177">
        <v>0.1051</v>
      </c>
      <c r="E37" s="117">
        <v>756.56</v>
      </c>
    </row>
    <row r="38" spans="1:5" x14ac:dyDescent="0.35">
      <c r="A38" s="174">
        <v>2022</v>
      </c>
      <c r="B38" t="s">
        <v>450</v>
      </c>
      <c r="C38" s="116">
        <v>1879.45</v>
      </c>
      <c r="D38" s="177">
        <v>6.4500000000000002E-2</v>
      </c>
      <c r="E38" s="117">
        <v>546.46</v>
      </c>
    </row>
    <row r="39" spans="1:5" x14ac:dyDescent="0.35">
      <c r="A39" s="174">
        <v>2022</v>
      </c>
      <c r="B39" t="s">
        <v>454</v>
      </c>
      <c r="C39" s="116">
        <v>1769.29</v>
      </c>
      <c r="D39" s="177">
        <v>6.0699999999999997E-2</v>
      </c>
      <c r="E39" s="117">
        <v>256.17</v>
      </c>
    </row>
    <row r="40" spans="1:5" x14ac:dyDescent="0.35">
      <c r="A40" s="174">
        <v>2022</v>
      </c>
      <c r="B40" t="s">
        <v>452</v>
      </c>
      <c r="C40" s="116">
        <v>1589.9</v>
      </c>
      <c r="D40" s="177">
        <v>5.4600000000000003E-2</v>
      </c>
      <c r="E40" s="117">
        <v>245.72</v>
      </c>
    </row>
    <row r="41" spans="1:5" x14ac:dyDescent="0.35">
      <c r="A41" s="174">
        <v>2022</v>
      </c>
      <c r="B41" t="s">
        <v>457</v>
      </c>
      <c r="C41" s="116">
        <v>1571.11</v>
      </c>
      <c r="D41" s="177">
        <v>5.3900000000000003E-2</v>
      </c>
      <c r="E41" s="117">
        <v>257.79000000000002</v>
      </c>
    </row>
    <row r="42" spans="1:5" x14ac:dyDescent="0.35">
      <c r="A42" s="174">
        <v>2022</v>
      </c>
      <c r="B42" t="s">
        <v>455</v>
      </c>
      <c r="C42" s="116">
        <v>1404.32</v>
      </c>
      <c r="D42" s="177">
        <v>4.82E-2</v>
      </c>
      <c r="E42" s="117">
        <v>189.33</v>
      </c>
    </row>
    <row r="43" spans="1:5" x14ac:dyDescent="0.35">
      <c r="A43" s="174">
        <v>2022</v>
      </c>
      <c r="B43" t="s">
        <v>453</v>
      </c>
      <c r="C43" s="116">
        <v>1235.08</v>
      </c>
      <c r="D43" s="177">
        <v>4.24E-2</v>
      </c>
      <c r="E43" s="117">
        <v>165.46</v>
      </c>
    </row>
    <row r="44" spans="1:5" x14ac:dyDescent="0.35">
      <c r="A44" s="174">
        <v>2023</v>
      </c>
      <c r="B44" t="s">
        <v>447</v>
      </c>
      <c r="C44" s="116">
        <v>5573.38</v>
      </c>
      <c r="D44" s="177">
        <v>0.17549999999999999</v>
      </c>
      <c r="E44" s="117">
        <v>766.16</v>
      </c>
    </row>
    <row r="45" spans="1:5" x14ac:dyDescent="0.35">
      <c r="A45" s="174">
        <v>2023</v>
      </c>
      <c r="B45" t="s">
        <v>448</v>
      </c>
      <c r="C45" s="116">
        <v>4317.24</v>
      </c>
      <c r="D45" s="177">
        <v>0.13589999999999999</v>
      </c>
      <c r="E45" s="117">
        <v>698.24</v>
      </c>
    </row>
    <row r="46" spans="1:5" x14ac:dyDescent="0.35">
      <c r="A46" s="174">
        <v>2023</v>
      </c>
      <c r="B46" t="s">
        <v>449</v>
      </c>
      <c r="C46" s="116">
        <v>3552.58</v>
      </c>
      <c r="D46" s="177">
        <v>0.1119</v>
      </c>
      <c r="E46" s="117">
        <v>341.53</v>
      </c>
    </row>
    <row r="47" spans="1:5" x14ac:dyDescent="0.35">
      <c r="A47" s="174">
        <v>2023</v>
      </c>
      <c r="B47" t="s">
        <v>451</v>
      </c>
      <c r="C47" s="116">
        <v>3508.27</v>
      </c>
      <c r="D47" s="177">
        <v>0.1105</v>
      </c>
      <c r="E47" s="117">
        <v>851.52</v>
      </c>
    </row>
    <row r="48" spans="1:5" x14ac:dyDescent="0.35">
      <c r="A48" s="174">
        <v>2023</v>
      </c>
      <c r="B48" t="s">
        <v>457</v>
      </c>
      <c r="C48" s="116">
        <v>1922.79</v>
      </c>
      <c r="D48" s="177">
        <v>6.0499999999999998E-2</v>
      </c>
      <c r="E48" s="117">
        <v>303.58999999999997</v>
      </c>
    </row>
    <row r="49" spans="1:5" x14ac:dyDescent="0.35">
      <c r="A49" s="174">
        <v>2023</v>
      </c>
      <c r="B49" t="s">
        <v>454</v>
      </c>
      <c r="C49" s="116">
        <v>1906.65</v>
      </c>
      <c r="D49" s="177">
        <v>0.06</v>
      </c>
      <c r="E49" s="117">
        <v>272.63</v>
      </c>
    </row>
    <row r="50" spans="1:5" x14ac:dyDescent="0.35">
      <c r="A50" s="174">
        <v>2023</v>
      </c>
      <c r="B50" t="s">
        <v>450</v>
      </c>
      <c r="C50" s="116">
        <v>1776.68</v>
      </c>
      <c r="D50" s="177">
        <v>5.5899999999999998E-2</v>
      </c>
      <c r="E50" s="117">
        <v>539.53</v>
      </c>
    </row>
    <row r="51" spans="1:5" x14ac:dyDescent="0.35">
      <c r="A51" s="174">
        <v>2023</v>
      </c>
      <c r="B51" t="s">
        <v>452</v>
      </c>
      <c r="C51" s="116">
        <v>1612.31</v>
      </c>
      <c r="D51" s="177">
        <v>5.0799999999999998E-2</v>
      </c>
      <c r="E51" s="117">
        <v>244.88</v>
      </c>
    </row>
    <row r="52" spans="1:5" x14ac:dyDescent="0.35">
      <c r="A52" s="174">
        <v>2023</v>
      </c>
      <c r="B52" t="s">
        <v>455</v>
      </c>
      <c r="C52" s="116">
        <v>1476.34</v>
      </c>
      <c r="D52" s="177">
        <v>4.65E-2</v>
      </c>
      <c r="E52" s="117">
        <v>188.14</v>
      </c>
    </row>
    <row r="53" spans="1:5" x14ac:dyDescent="0.35">
      <c r="A53" s="175">
        <v>2023</v>
      </c>
      <c r="B53" s="10" t="s">
        <v>453</v>
      </c>
      <c r="C53" s="118">
        <v>1187.3599999999999</v>
      </c>
      <c r="D53" s="178">
        <v>3.7400000000000003E-2</v>
      </c>
      <c r="E53" s="119">
        <v>160.66999999999999</v>
      </c>
    </row>
    <row r="55" spans="1:5" x14ac:dyDescent="0.35">
      <c r="A55" s="172" t="s">
        <v>458</v>
      </c>
    </row>
    <row r="57" spans="1:5" x14ac:dyDescent="0.35">
      <c r="A57" s="172" t="s">
        <v>191</v>
      </c>
    </row>
    <row r="58" spans="1:5" x14ac:dyDescent="0.35">
      <c r="A58" s="172" t="s">
        <v>192</v>
      </c>
    </row>
    <row r="60" spans="1:5" x14ac:dyDescent="0.35">
      <c r="A60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55"/>
  <sheetViews>
    <sheetView workbookViewId="0">
      <selection activeCell="B20" sqref="B20"/>
    </sheetView>
  </sheetViews>
  <sheetFormatPr defaultColWidth="10.90625" defaultRowHeight="14.5" x14ac:dyDescent="0.35"/>
  <cols>
    <col min="1" max="1" width="16.7265625" customWidth="1"/>
    <col min="2" max="2" width="15.7265625" customWidth="1"/>
    <col min="3" max="3" width="18.7265625" customWidth="1"/>
  </cols>
  <sheetData>
    <row r="1" spans="1:3" x14ac:dyDescent="0.35">
      <c r="A1" t="s">
        <v>459</v>
      </c>
    </row>
    <row r="3" spans="1:3" x14ac:dyDescent="0.35">
      <c r="A3" s="5" t="s">
        <v>460</v>
      </c>
      <c r="B3" s="4" t="s">
        <v>65</v>
      </c>
      <c r="C3" s="6" t="s">
        <v>66</v>
      </c>
    </row>
    <row r="4" spans="1:3" x14ac:dyDescent="0.35">
      <c r="A4" s="2" t="s">
        <v>101</v>
      </c>
      <c r="B4" t="s">
        <v>461</v>
      </c>
      <c r="C4" s="120">
        <v>56900</v>
      </c>
    </row>
    <row r="5" spans="1:3" x14ac:dyDescent="0.35">
      <c r="A5" s="2" t="s">
        <v>101</v>
      </c>
      <c r="B5" t="s">
        <v>56</v>
      </c>
      <c r="C5" s="120">
        <v>392836</v>
      </c>
    </row>
    <row r="6" spans="1:3" x14ac:dyDescent="0.35">
      <c r="A6" s="2" t="s">
        <v>101</v>
      </c>
      <c r="B6" t="s">
        <v>57</v>
      </c>
      <c r="C6" s="120">
        <v>442305</v>
      </c>
    </row>
    <row r="7" spans="1:3" x14ac:dyDescent="0.35">
      <c r="A7" s="2" t="s">
        <v>101</v>
      </c>
      <c r="B7" t="s">
        <v>58</v>
      </c>
      <c r="C7" s="120">
        <v>443245</v>
      </c>
    </row>
    <row r="8" spans="1:3" x14ac:dyDescent="0.35">
      <c r="A8" s="2" t="s">
        <v>101</v>
      </c>
      <c r="B8" t="s">
        <v>59</v>
      </c>
      <c r="C8" s="120">
        <v>529373</v>
      </c>
    </row>
    <row r="9" spans="1:3" x14ac:dyDescent="0.35">
      <c r="A9" s="2" t="s">
        <v>101</v>
      </c>
      <c r="B9" t="s">
        <v>60</v>
      </c>
      <c r="C9" s="120">
        <v>508097</v>
      </c>
    </row>
    <row r="10" spans="1:3" x14ac:dyDescent="0.35">
      <c r="A10" s="2" t="s">
        <v>101</v>
      </c>
      <c r="B10" t="s">
        <v>462</v>
      </c>
      <c r="C10" s="120">
        <v>302678</v>
      </c>
    </row>
    <row r="11" spans="1:3" x14ac:dyDescent="0.35">
      <c r="A11" s="2" t="s">
        <v>101</v>
      </c>
      <c r="B11" t="s">
        <v>203</v>
      </c>
      <c r="C11" s="120">
        <v>132661</v>
      </c>
    </row>
    <row r="12" spans="1:3" x14ac:dyDescent="0.35">
      <c r="A12" s="2" t="s">
        <v>101</v>
      </c>
      <c r="B12" t="s">
        <v>463</v>
      </c>
      <c r="C12" s="120">
        <v>5924</v>
      </c>
    </row>
    <row r="13" spans="1:3" x14ac:dyDescent="0.35">
      <c r="A13" s="2" t="s">
        <v>102</v>
      </c>
      <c r="B13" t="s">
        <v>461</v>
      </c>
      <c r="C13" s="120">
        <v>57238</v>
      </c>
    </row>
    <row r="14" spans="1:3" x14ac:dyDescent="0.35">
      <c r="A14" s="2" t="s">
        <v>102</v>
      </c>
      <c r="B14" t="s">
        <v>56</v>
      </c>
      <c r="C14" s="120">
        <v>418227</v>
      </c>
    </row>
    <row r="15" spans="1:3" x14ac:dyDescent="0.35">
      <c r="A15" s="2" t="s">
        <v>102</v>
      </c>
      <c r="B15" t="s">
        <v>57</v>
      </c>
      <c r="C15" s="120">
        <v>460275</v>
      </c>
    </row>
    <row r="16" spans="1:3" x14ac:dyDescent="0.35">
      <c r="A16" s="2" t="s">
        <v>102</v>
      </c>
      <c r="B16" t="s">
        <v>58</v>
      </c>
      <c r="C16" s="120">
        <v>464767</v>
      </c>
    </row>
    <row r="17" spans="1:3" x14ac:dyDescent="0.35">
      <c r="A17" s="2" t="s">
        <v>102</v>
      </c>
      <c r="B17" t="s">
        <v>59</v>
      </c>
      <c r="C17" s="120">
        <v>518481</v>
      </c>
    </row>
    <row r="18" spans="1:3" x14ac:dyDescent="0.35">
      <c r="A18" s="2" t="s">
        <v>102</v>
      </c>
      <c r="B18" t="s">
        <v>60</v>
      </c>
      <c r="C18" s="120">
        <v>518964</v>
      </c>
    </row>
    <row r="19" spans="1:3" x14ac:dyDescent="0.35">
      <c r="A19" s="2" t="s">
        <v>102</v>
      </c>
      <c r="B19" t="s">
        <v>462</v>
      </c>
      <c r="C19" s="120">
        <v>286369</v>
      </c>
    </row>
    <row r="20" spans="1:3" x14ac:dyDescent="0.35">
      <c r="A20" s="2" t="s">
        <v>102</v>
      </c>
      <c r="B20" t="s">
        <v>203</v>
      </c>
      <c r="C20" s="120">
        <v>131108</v>
      </c>
    </row>
    <row r="21" spans="1:3" x14ac:dyDescent="0.35">
      <c r="A21" s="2" t="s">
        <v>102</v>
      </c>
      <c r="B21" t="s">
        <v>463</v>
      </c>
      <c r="C21" s="120">
        <v>3623</v>
      </c>
    </row>
    <row r="22" spans="1:3" x14ac:dyDescent="0.35">
      <c r="A22" s="2" t="s">
        <v>103</v>
      </c>
      <c r="B22" t="s">
        <v>461</v>
      </c>
      <c r="C22" s="120">
        <v>79717</v>
      </c>
    </row>
    <row r="23" spans="1:3" x14ac:dyDescent="0.35">
      <c r="A23" s="2" t="s">
        <v>103</v>
      </c>
      <c r="B23" t="s">
        <v>56</v>
      </c>
      <c r="C23" s="120">
        <v>491345</v>
      </c>
    </row>
    <row r="24" spans="1:3" x14ac:dyDescent="0.35">
      <c r="A24" s="2" t="s">
        <v>103</v>
      </c>
      <c r="B24" t="s">
        <v>57</v>
      </c>
      <c r="C24" s="120">
        <v>509569</v>
      </c>
    </row>
    <row r="25" spans="1:3" x14ac:dyDescent="0.35">
      <c r="A25" s="2" t="s">
        <v>103</v>
      </c>
      <c r="B25" t="s">
        <v>58</v>
      </c>
      <c r="C25" s="120">
        <v>512918</v>
      </c>
    </row>
    <row r="26" spans="1:3" x14ac:dyDescent="0.35">
      <c r="A26" s="2" t="s">
        <v>103</v>
      </c>
      <c r="B26" t="s">
        <v>59</v>
      </c>
      <c r="C26" s="120">
        <v>534231</v>
      </c>
    </row>
    <row r="27" spans="1:3" x14ac:dyDescent="0.35">
      <c r="A27" s="2" t="s">
        <v>103</v>
      </c>
      <c r="B27" t="s">
        <v>60</v>
      </c>
      <c r="C27" s="120">
        <v>566450</v>
      </c>
    </row>
    <row r="28" spans="1:3" x14ac:dyDescent="0.35">
      <c r="A28" s="2" t="s">
        <v>103</v>
      </c>
      <c r="B28" t="s">
        <v>462</v>
      </c>
      <c r="C28" s="120">
        <v>308854</v>
      </c>
    </row>
    <row r="29" spans="1:3" x14ac:dyDescent="0.35">
      <c r="A29" s="2" t="s">
        <v>103</v>
      </c>
      <c r="B29" t="s">
        <v>203</v>
      </c>
      <c r="C29" s="120">
        <v>136930</v>
      </c>
    </row>
    <row r="30" spans="1:3" x14ac:dyDescent="0.35">
      <c r="A30" s="2" t="s">
        <v>103</v>
      </c>
      <c r="B30" t="s">
        <v>463</v>
      </c>
      <c r="C30" s="120">
        <v>3234</v>
      </c>
    </row>
    <row r="31" spans="1:3" x14ac:dyDescent="0.35">
      <c r="A31" s="2" t="s">
        <v>104</v>
      </c>
      <c r="B31" t="s">
        <v>461</v>
      </c>
      <c r="C31" s="120">
        <v>107603</v>
      </c>
    </row>
    <row r="32" spans="1:3" x14ac:dyDescent="0.35">
      <c r="A32" s="2" t="s">
        <v>104</v>
      </c>
      <c r="B32" t="s">
        <v>56</v>
      </c>
      <c r="C32" s="120">
        <v>579623</v>
      </c>
    </row>
    <row r="33" spans="1:3" x14ac:dyDescent="0.35">
      <c r="A33" s="2" t="s">
        <v>104</v>
      </c>
      <c r="B33" t="s">
        <v>57</v>
      </c>
      <c r="C33" s="120">
        <v>555242</v>
      </c>
    </row>
    <row r="34" spans="1:3" x14ac:dyDescent="0.35">
      <c r="A34" s="2" t="s">
        <v>104</v>
      </c>
      <c r="B34" t="s">
        <v>58</v>
      </c>
      <c r="C34" s="120">
        <v>561238</v>
      </c>
    </row>
    <row r="35" spans="1:3" x14ac:dyDescent="0.35">
      <c r="A35" s="2" t="s">
        <v>104</v>
      </c>
      <c r="B35" t="s">
        <v>59</v>
      </c>
      <c r="C35" s="120">
        <v>544142</v>
      </c>
    </row>
    <row r="36" spans="1:3" x14ac:dyDescent="0.35">
      <c r="A36" s="2" t="s">
        <v>104</v>
      </c>
      <c r="B36" t="s">
        <v>60</v>
      </c>
      <c r="C36" s="120">
        <v>599386</v>
      </c>
    </row>
    <row r="37" spans="1:3" x14ac:dyDescent="0.35">
      <c r="A37" s="2" t="s">
        <v>104</v>
      </c>
      <c r="B37" t="s">
        <v>462</v>
      </c>
      <c r="C37" s="120">
        <v>333953</v>
      </c>
    </row>
    <row r="38" spans="1:3" x14ac:dyDescent="0.35">
      <c r="A38" s="2" t="s">
        <v>104</v>
      </c>
      <c r="B38" t="s">
        <v>203</v>
      </c>
      <c r="C38" s="120">
        <v>143074</v>
      </c>
    </row>
    <row r="39" spans="1:3" x14ac:dyDescent="0.35">
      <c r="A39" s="2" t="s">
        <v>104</v>
      </c>
      <c r="B39" t="s">
        <v>463</v>
      </c>
      <c r="C39" s="120">
        <v>6912</v>
      </c>
    </row>
    <row r="40" spans="1:3" x14ac:dyDescent="0.35">
      <c r="A40" s="2" t="s">
        <v>105</v>
      </c>
      <c r="B40" t="s">
        <v>461</v>
      </c>
      <c r="C40" s="120">
        <v>118765</v>
      </c>
    </row>
    <row r="41" spans="1:3" x14ac:dyDescent="0.35">
      <c r="A41" s="2" t="s">
        <v>105</v>
      </c>
      <c r="B41" t="s">
        <v>56</v>
      </c>
      <c r="C41" s="120">
        <v>644801</v>
      </c>
    </row>
    <row r="42" spans="1:3" x14ac:dyDescent="0.35">
      <c r="A42" s="2" t="s">
        <v>105</v>
      </c>
      <c r="B42" t="s">
        <v>57</v>
      </c>
      <c r="C42" s="120">
        <v>599209</v>
      </c>
    </row>
    <row r="43" spans="1:3" x14ac:dyDescent="0.35">
      <c r="A43" s="2" t="s">
        <v>105</v>
      </c>
      <c r="B43" t="s">
        <v>58</v>
      </c>
      <c r="C43" s="120">
        <v>609599</v>
      </c>
    </row>
    <row r="44" spans="1:3" x14ac:dyDescent="0.35">
      <c r="A44" s="2" t="s">
        <v>105</v>
      </c>
      <c r="B44" t="s">
        <v>59</v>
      </c>
      <c r="C44" s="120">
        <v>555507</v>
      </c>
    </row>
    <row r="45" spans="1:3" x14ac:dyDescent="0.35">
      <c r="A45" s="2" t="s">
        <v>105</v>
      </c>
      <c r="B45" t="s">
        <v>60</v>
      </c>
      <c r="C45" s="120">
        <v>634500</v>
      </c>
    </row>
    <row r="46" spans="1:3" x14ac:dyDescent="0.35">
      <c r="A46" s="2" t="s">
        <v>105</v>
      </c>
      <c r="B46" t="s">
        <v>462</v>
      </c>
      <c r="C46" s="120">
        <v>365867</v>
      </c>
    </row>
    <row r="47" spans="1:3" x14ac:dyDescent="0.35">
      <c r="A47" s="2" t="s">
        <v>105</v>
      </c>
      <c r="B47" t="s">
        <v>203</v>
      </c>
      <c r="C47" s="120">
        <v>151163</v>
      </c>
    </row>
    <row r="48" spans="1:3" x14ac:dyDescent="0.35">
      <c r="A48" s="8" t="s">
        <v>105</v>
      </c>
      <c r="B48" s="10" t="s">
        <v>463</v>
      </c>
      <c r="C48" s="121">
        <v>3944</v>
      </c>
    </row>
    <row r="50" spans="1:1" x14ac:dyDescent="0.35">
      <c r="A50" t="s">
        <v>458</v>
      </c>
    </row>
    <row r="52" spans="1:1" x14ac:dyDescent="0.35">
      <c r="A52" t="s">
        <v>191</v>
      </c>
    </row>
    <row r="53" spans="1:1" x14ac:dyDescent="0.35">
      <c r="A53" t="s">
        <v>192</v>
      </c>
    </row>
    <row r="55" spans="1:1" x14ac:dyDescent="0.35">
      <c r="A5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25"/>
  <sheetViews>
    <sheetView workbookViewId="0"/>
  </sheetViews>
  <sheetFormatPr defaultColWidth="10.90625" defaultRowHeight="14.5" x14ac:dyDescent="0.35"/>
  <cols>
    <col min="1" max="1" width="16.7265625" style="172" customWidth="1"/>
    <col min="2" max="2" width="12.7265625" customWidth="1"/>
    <col min="3" max="3" width="18.7265625" customWidth="1"/>
  </cols>
  <sheetData>
    <row r="1" spans="1:3" x14ac:dyDescent="0.35">
      <c r="A1" s="172" t="s">
        <v>464</v>
      </c>
    </row>
    <row r="3" spans="1:3" x14ac:dyDescent="0.35">
      <c r="A3" s="173" t="s">
        <v>460</v>
      </c>
      <c r="B3" s="4" t="s">
        <v>41</v>
      </c>
      <c r="C3" s="6" t="s">
        <v>66</v>
      </c>
    </row>
    <row r="4" spans="1:3" x14ac:dyDescent="0.35">
      <c r="A4" s="174">
        <v>2019</v>
      </c>
      <c r="B4" t="s">
        <v>45</v>
      </c>
      <c r="C4" s="122">
        <v>1956074</v>
      </c>
    </row>
    <row r="5" spans="1:3" x14ac:dyDescent="0.35">
      <c r="A5" s="174">
        <v>2019</v>
      </c>
      <c r="B5" t="s">
        <v>465</v>
      </c>
      <c r="C5" s="122">
        <v>852052</v>
      </c>
    </row>
    <row r="6" spans="1:3" x14ac:dyDescent="0.35">
      <c r="A6" s="174">
        <v>2019</v>
      </c>
      <c r="B6" t="s">
        <v>463</v>
      </c>
      <c r="C6" s="122">
        <v>5893</v>
      </c>
    </row>
    <row r="7" spans="1:3" x14ac:dyDescent="0.35">
      <c r="A7" s="174">
        <v>2020</v>
      </c>
      <c r="B7" t="s">
        <v>45</v>
      </c>
      <c r="C7" s="122">
        <v>1990604</v>
      </c>
    </row>
    <row r="8" spans="1:3" x14ac:dyDescent="0.35">
      <c r="A8" s="174">
        <v>2020</v>
      </c>
      <c r="B8" t="s">
        <v>465</v>
      </c>
      <c r="C8" s="122">
        <v>864850</v>
      </c>
    </row>
    <row r="9" spans="1:3" x14ac:dyDescent="0.35">
      <c r="A9" s="174">
        <v>2020</v>
      </c>
      <c r="B9" t="s">
        <v>463</v>
      </c>
      <c r="C9" s="122">
        <v>3598</v>
      </c>
    </row>
    <row r="10" spans="1:3" x14ac:dyDescent="0.35">
      <c r="A10" s="174">
        <v>2021</v>
      </c>
      <c r="B10" t="s">
        <v>465</v>
      </c>
      <c r="C10" s="122">
        <v>948723</v>
      </c>
    </row>
    <row r="11" spans="1:3" x14ac:dyDescent="0.35">
      <c r="A11" s="174">
        <v>2021</v>
      </c>
      <c r="B11" t="s">
        <v>45</v>
      </c>
      <c r="C11" s="122">
        <v>2191294</v>
      </c>
    </row>
    <row r="12" spans="1:3" x14ac:dyDescent="0.35">
      <c r="A12" s="174">
        <v>2021</v>
      </c>
      <c r="B12" t="s">
        <v>463</v>
      </c>
      <c r="C12" s="122">
        <v>3231</v>
      </c>
    </row>
    <row r="13" spans="1:3" x14ac:dyDescent="0.35">
      <c r="A13" s="174">
        <v>2022</v>
      </c>
      <c r="B13" t="s">
        <v>465</v>
      </c>
      <c r="C13" s="122">
        <v>1036288</v>
      </c>
    </row>
    <row r="14" spans="1:3" x14ac:dyDescent="0.35">
      <c r="A14" s="174">
        <v>2022</v>
      </c>
      <c r="B14" t="s">
        <v>45</v>
      </c>
      <c r="C14" s="122">
        <v>2387976</v>
      </c>
    </row>
    <row r="15" spans="1:3" x14ac:dyDescent="0.35">
      <c r="A15" s="174">
        <v>2022</v>
      </c>
      <c r="B15" t="s">
        <v>463</v>
      </c>
      <c r="C15" s="122">
        <v>6909</v>
      </c>
    </row>
    <row r="16" spans="1:3" x14ac:dyDescent="0.35">
      <c r="A16" s="174">
        <v>2023</v>
      </c>
      <c r="B16" t="s">
        <v>45</v>
      </c>
      <c r="C16" s="122">
        <v>2553511</v>
      </c>
    </row>
    <row r="17" spans="1:3" x14ac:dyDescent="0.35">
      <c r="A17" s="174">
        <v>2023</v>
      </c>
      <c r="B17" t="s">
        <v>465</v>
      </c>
      <c r="C17" s="122">
        <v>1125904</v>
      </c>
    </row>
    <row r="18" spans="1:3" x14ac:dyDescent="0.35">
      <c r="A18" s="175">
        <v>2023</v>
      </c>
      <c r="B18" s="10" t="s">
        <v>463</v>
      </c>
      <c r="C18" s="123">
        <v>3940</v>
      </c>
    </row>
    <row r="20" spans="1:3" x14ac:dyDescent="0.35">
      <c r="A20" s="172" t="s">
        <v>458</v>
      </c>
    </row>
    <row r="22" spans="1:3" x14ac:dyDescent="0.35">
      <c r="A22" s="172" t="s">
        <v>191</v>
      </c>
    </row>
    <row r="23" spans="1:3" x14ac:dyDescent="0.35">
      <c r="A23" s="172" t="s">
        <v>192</v>
      </c>
    </row>
    <row r="25" spans="1:3" x14ac:dyDescent="0.35">
      <c r="A25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55"/>
  <sheetViews>
    <sheetView workbookViewId="0"/>
  </sheetViews>
  <sheetFormatPr defaultColWidth="10.90625" defaultRowHeight="14.5" x14ac:dyDescent="0.35"/>
  <cols>
    <col min="1" max="1" width="16.7265625" customWidth="1"/>
    <col min="2" max="2" width="15.7265625" customWidth="1"/>
    <col min="3" max="3" width="17.7265625" customWidth="1"/>
    <col min="4" max="4" width="18.7265625" customWidth="1"/>
    <col min="5" max="5" width="29.7265625" customWidth="1"/>
  </cols>
  <sheetData>
    <row r="1" spans="1:5" x14ac:dyDescent="0.35">
      <c r="A1" t="s">
        <v>466</v>
      </c>
    </row>
    <row r="3" spans="1:5" x14ac:dyDescent="0.35">
      <c r="A3" s="5" t="s">
        <v>460</v>
      </c>
      <c r="B3" s="4" t="s">
        <v>65</v>
      </c>
      <c r="C3" s="4" t="s">
        <v>467</v>
      </c>
      <c r="D3" s="4" t="s">
        <v>66</v>
      </c>
      <c r="E3" s="6" t="s">
        <v>468</v>
      </c>
    </row>
    <row r="4" spans="1:5" x14ac:dyDescent="0.35">
      <c r="A4" s="2" t="s">
        <v>101</v>
      </c>
      <c r="B4" t="s">
        <v>461</v>
      </c>
      <c r="C4" s="124">
        <v>375139</v>
      </c>
      <c r="D4" s="124">
        <v>56900</v>
      </c>
      <c r="E4" s="138">
        <v>6.59</v>
      </c>
    </row>
    <row r="5" spans="1:5" x14ac:dyDescent="0.35">
      <c r="A5" s="2" t="s">
        <v>101</v>
      </c>
      <c r="B5" t="s">
        <v>56</v>
      </c>
      <c r="C5" s="124">
        <v>2807757</v>
      </c>
      <c r="D5" s="124">
        <v>392836</v>
      </c>
      <c r="E5" s="138">
        <v>7.15</v>
      </c>
    </row>
    <row r="6" spans="1:5" x14ac:dyDescent="0.35">
      <c r="A6" s="2" t="s">
        <v>101</v>
      </c>
      <c r="B6" t="s">
        <v>57</v>
      </c>
      <c r="C6" s="124">
        <v>3356826</v>
      </c>
      <c r="D6" s="124">
        <v>442305</v>
      </c>
      <c r="E6" s="138">
        <v>7.59</v>
      </c>
    </row>
    <row r="7" spans="1:5" x14ac:dyDescent="0.35">
      <c r="A7" s="2" t="s">
        <v>101</v>
      </c>
      <c r="B7" t="s">
        <v>58</v>
      </c>
      <c r="C7" s="124">
        <v>3537405</v>
      </c>
      <c r="D7" s="124">
        <v>443245</v>
      </c>
      <c r="E7" s="138">
        <v>7.98</v>
      </c>
    </row>
    <row r="8" spans="1:5" x14ac:dyDescent="0.35">
      <c r="A8" s="2" t="s">
        <v>101</v>
      </c>
      <c r="B8" t="s">
        <v>59</v>
      </c>
      <c r="C8" s="124">
        <v>4401235</v>
      </c>
      <c r="D8" s="124">
        <v>529373</v>
      </c>
      <c r="E8" s="138">
        <v>8.31</v>
      </c>
    </row>
    <row r="9" spans="1:5" x14ac:dyDescent="0.35">
      <c r="A9" s="2" t="s">
        <v>101</v>
      </c>
      <c r="B9" t="s">
        <v>60</v>
      </c>
      <c r="C9" s="124">
        <v>4250984</v>
      </c>
      <c r="D9" s="124">
        <v>508097</v>
      </c>
      <c r="E9" s="138">
        <v>8.3699999999999992</v>
      </c>
    </row>
    <row r="10" spans="1:5" x14ac:dyDescent="0.35">
      <c r="A10" s="2" t="s">
        <v>101</v>
      </c>
      <c r="B10" t="s">
        <v>462</v>
      </c>
      <c r="C10" s="124">
        <v>2610349</v>
      </c>
      <c r="D10" s="124">
        <v>302678</v>
      </c>
      <c r="E10" s="138">
        <v>8.6199999999999992</v>
      </c>
    </row>
    <row r="11" spans="1:5" x14ac:dyDescent="0.35">
      <c r="A11" s="2" t="s">
        <v>101</v>
      </c>
      <c r="B11" t="s">
        <v>203</v>
      </c>
      <c r="C11" s="124">
        <v>1140470</v>
      </c>
      <c r="D11" s="124">
        <v>132661</v>
      </c>
      <c r="E11" s="138">
        <v>8.6</v>
      </c>
    </row>
    <row r="12" spans="1:5" x14ac:dyDescent="0.35">
      <c r="A12" s="2" t="s">
        <v>101</v>
      </c>
      <c r="B12" t="s">
        <v>463</v>
      </c>
      <c r="C12" s="124">
        <v>16290</v>
      </c>
      <c r="D12" s="124">
        <v>5924</v>
      </c>
      <c r="E12" s="138">
        <v>2.75</v>
      </c>
    </row>
    <row r="13" spans="1:5" x14ac:dyDescent="0.35">
      <c r="A13" s="2" t="s">
        <v>102</v>
      </c>
      <c r="B13" t="s">
        <v>461</v>
      </c>
      <c r="C13" s="124">
        <v>416585</v>
      </c>
      <c r="D13" s="124">
        <v>57238</v>
      </c>
      <c r="E13" s="138">
        <v>7.28</v>
      </c>
    </row>
    <row r="14" spans="1:5" x14ac:dyDescent="0.35">
      <c r="A14" s="2" t="s">
        <v>102</v>
      </c>
      <c r="B14" t="s">
        <v>56</v>
      </c>
      <c r="C14" s="124">
        <v>3247810</v>
      </c>
      <c r="D14" s="124">
        <v>418227</v>
      </c>
      <c r="E14" s="138">
        <v>7.77</v>
      </c>
    </row>
    <row r="15" spans="1:5" x14ac:dyDescent="0.35">
      <c r="A15" s="2" t="s">
        <v>102</v>
      </c>
      <c r="B15" t="s">
        <v>57</v>
      </c>
      <c r="C15" s="124">
        <v>3712555</v>
      </c>
      <c r="D15" s="124">
        <v>460275</v>
      </c>
      <c r="E15" s="138">
        <v>8.07</v>
      </c>
    </row>
    <row r="16" spans="1:5" x14ac:dyDescent="0.35">
      <c r="A16" s="2" t="s">
        <v>102</v>
      </c>
      <c r="B16" t="s">
        <v>58</v>
      </c>
      <c r="C16" s="124">
        <v>3933385</v>
      </c>
      <c r="D16" s="124">
        <v>464767</v>
      </c>
      <c r="E16" s="138">
        <v>8.4600000000000009</v>
      </c>
    </row>
    <row r="17" spans="1:5" x14ac:dyDescent="0.35">
      <c r="A17" s="2" t="s">
        <v>102</v>
      </c>
      <c r="B17" t="s">
        <v>59</v>
      </c>
      <c r="C17" s="124">
        <v>4548126</v>
      </c>
      <c r="D17" s="124">
        <v>518481</v>
      </c>
      <c r="E17" s="138">
        <v>8.77</v>
      </c>
    </row>
    <row r="18" spans="1:5" x14ac:dyDescent="0.35">
      <c r="A18" s="2" t="s">
        <v>102</v>
      </c>
      <c r="B18" t="s">
        <v>60</v>
      </c>
      <c r="C18" s="124">
        <v>4609745</v>
      </c>
      <c r="D18" s="124">
        <v>518964</v>
      </c>
      <c r="E18" s="138">
        <v>8.8800000000000008</v>
      </c>
    </row>
    <row r="19" spans="1:5" x14ac:dyDescent="0.35">
      <c r="A19" s="2" t="s">
        <v>102</v>
      </c>
      <c r="B19" t="s">
        <v>462</v>
      </c>
      <c r="C19" s="124">
        <v>2623585</v>
      </c>
      <c r="D19" s="124">
        <v>286369</v>
      </c>
      <c r="E19" s="138">
        <v>9.16</v>
      </c>
    </row>
    <row r="20" spans="1:5" x14ac:dyDescent="0.35">
      <c r="A20" s="2" t="s">
        <v>102</v>
      </c>
      <c r="B20" t="s">
        <v>203</v>
      </c>
      <c r="C20" s="124">
        <v>1194460</v>
      </c>
      <c r="D20" s="124">
        <v>131108</v>
      </c>
      <c r="E20" s="138">
        <v>9.11</v>
      </c>
    </row>
    <row r="21" spans="1:5" x14ac:dyDescent="0.35">
      <c r="A21" s="2" t="s">
        <v>102</v>
      </c>
      <c r="B21" t="s">
        <v>463</v>
      </c>
      <c r="C21" s="124">
        <v>12668</v>
      </c>
      <c r="D21" s="124">
        <v>3623</v>
      </c>
      <c r="E21" s="138">
        <v>3.5</v>
      </c>
    </row>
    <row r="22" spans="1:5" x14ac:dyDescent="0.35">
      <c r="A22" s="2" t="s">
        <v>103</v>
      </c>
      <c r="B22" t="s">
        <v>461</v>
      </c>
      <c r="C22" s="124">
        <v>600336</v>
      </c>
      <c r="D22" s="124">
        <v>79717</v>
      </c>
      <c r="E22" s="138">
        <v>7.53</v>
      </c>
    </row>
    <row r="23" spans="1:5" x14ac:dyDescent="0.35">
      <c r="A23" s="2" t="s">
        <v>103</v>
      </c>
      <c r="B23" t="s">
        <v>56</v>
      </c>
      <c r="C23" s="124">
        <v>3921916</v>
      </c>
      <c r="D23" s="124">
        <v>491345</v>
      </c>
      <c r="E23" s="138">
        <v>7.98</v>
      </c>
    </row>
    <row r="24" spans="1:5" x14ac:dyDescent="0.35">
      <c r="A24" s="2" t="s">
        <v>103</v>
      </c>
      <c r="B24" t="s">
        <v>57</v>
      </c>
      <c r="C24" s="124">
        <v>4117772</v>
      </c>
      <c r="D24" s="124">
        <v>509569</v>
      </c>
      <c r="E24" s="138">
        <v>8.08</v>
      </c>
    </row>
    <row r="25" spans="1:5" x14ac:dyDescent="0.35">
      <c r="A25" s="2" t="s">
        <v>103</v>
      </c>
      <c r="B25" t="s">
        <v>58</v>
      </c>
      <c r="C25" s="124">
        <v>4310073</v>
      </c>
      <c r="D25" s="124">
        <v>512918</v>
      </c>
      <c r="E25" s="138">
        <v>8.4</v>
      </c>
    </row>
    <row r="26" spans="1:5" x14ac:dyDescent="0.35">
      <c r="A26" s="2" t="s">
        <v>103</v>
      </c>
      <c r="B26" t="s">
        <v>59</v>
      </c>
      <c r="C26" s="124">
        <v>4604463</v>
      </c>
      <c r="D26" s="124">
        <v>534231</v>
      </c>
      <c r="E26" s="138">
        <v>8.6199999999999992</v>
      </c>
    </row>
    <row r="27" spans="1:5" x14ac:dyDescent="0.35">
      <c r="A27" s="2" t="s">
        <v>103</v>
      </c>
      <c r="B27" t="s">
        <v>60</v>
      </c>
      <c r="C27" s="124">
        <v>4829941</v>
      </c>
      <c r="D27" s="124">
        <v>566450</v>
      </c>
      <c r="E27" s="138">
        <v>8.5299999999999994</v>
      </c>
    </row>
    <row r="28" spans="1:5" x14ac:dyDescent="0.35">
      <c r="A28" s="2" t="s">
        <v>103</v>
      </c>
      <c r="B28" t="s">
        <v>462</v>
      </c>
      <c r="C28" s="124">
        <v>2688315</v>
      </c>
      <c r="D28" s="124">
        <v>308854</v>
      </c>
      <c r="E28" s="138">
        <v>8.6999999999999993</v>
      </c>
    </row>
    <row r="29" spans="1:5" x14ac:dyDescent="0.35">
      <c r="A29" s="2" t="s">
        <v>103</v>
      </c>
      <c r="B29" t="s">
        <v>203</v>
      </c>
      <c r="C29" s="124">
        <v>1192172</v>
      </c>
      <c r="D29" s="124">
        <v>136930</v>
      </c>
      <c r="E29" s="138">
        <v>8.7100000000000009</v>
      </c>
    </row>
    <row r="30" spans="1:5" x14ac:dyDescent="0.35">
      <c r="A30" s="2" t="s">
        <v>103</v>
      </c>
      <c r="B30" t="s">
        <v>463</v>
      </c>
      <c r="C30" s="124">
        <v>11758</v>
      </c>
      <c r="D30" s="124">
        <v>3234</v>
      </c>
      <c r="E30" s="138">
        <v>3.64</v>
      </c>
    </row>
    <row r="31" spans="1:5" x14ac:dyDescent="0.35">
      <c r="A31" s="2" t="s">
        <v>104</v>
      </c>
      <c r="B31" t="s">
        <v>461</v>
      </c>
      <c r="C31" s="124">
        <v>886582</v>
      </c>
      <c r="D31" s="124">
        <v>107603</v>
      </c>
      <c r="E31" s="138">
        <v>8.24</v>
      </c>
    </row>
    <row r="32" spans="1:5" x14ac:dyDescent="0.35">
      <c r="A32" s="2" t="s">
        <v>104</v>
      </c>
      <c r="B32" t="s">
        <v>56</v>
      </c>
      <c r="C32" s="124">
        <v>4860857</v>
      </c>
      <c r="D32" s="124">
        <v>579623</v>
      </c>
      <c r="E32" s="138">
        <v>8.39</v>
      </c>
    </row>
    <row r="33" spans="1:5" x14ac:dyDescent="0.35">
      <c r="A33" s="2" t="s">
        <v>104</v>
      </c>
      <c r="B33" t="s">
        <v>57</v>
      </c>
      <c r="C33" s="124">
        <v>4587856</v>
      </c>
      <c r="D33" s="124">
        <v>555242</v>
      </c>
      <c r="E33" s="138">
        <v>8.26</v>
      </c>
    </row>
    <row r="34" spans="1:5" x14ac:dyDescent="0.35">
      <c r="A34" s="2" t="s">
        <v>104</v>
      </c>
      <c r="B34" t="s">
        <v>58</v>
      </c>
      <c r="C34" s="124">
        <v>4789167</v>
      </c>
      <c r="D34" s="124">
        <v>561238</v>
      </c>
      <c r="E34" s="138">
        <v>8.5299999999999994</v>
      </c>
    </row>
    <row r="35" spans="1:5" x14ac:dyDescent="0.35">
      <c r="A35" s="2" t="s">
        <v>104</v>
      </c>
      <c r="B35" t="s">
        <v>59</v>
      </c>
      <c r="C35" s="124">
        <v>4730023</v>
      </c>
      <c r="D35" s="124">
        <v>544142</v>
      </c>
      <c r="E35" s="138">
        <v>8.69</v>
      </c>
    </row>
    <row r="36" spans="1:5" x14ac:dyDescent="0.35">
      <c r="A36" s="2" t="s">
        <v>104</v>
      </c>
      <c r="B36" t="s">
        <v>60</v>
      </c>
      <c r="C36" s="124">
        <v>5119665</v>
      </c>
      <c r="D36" s="124">
        <v>599386</v>
      </c>
      <c r="E36" s="138">
        <v>8.5399999999999991</v>
      </c>
    </row>
    <row r="37" spans="1:5" x14ac:dyDescent="0.35">
      <c r="A37" s="2" t="s">
        <v>104</v>
      </c>
      <c r="B37" t="s">
        <v>462</v>
      </c>
      <c r="C37" s="124">
        <v>2895598</v>
      </c>
      <c r="D37" s="124">
        <v>333953</v>
      </c>
      <c r="E37" s="138">
        <v>8.67</v>
      </c>
    </row>
    <row r="38" spans="1:5" x14ac:dyDescent="0.35">
      <c r="A38" s="2" t="s">
        <v>104</v>
      </c>
      <c r="B38" t="s">
        <v>203</v>
      </c>
      <c r="C38" s="124">
        <v>1235576</v>
      </c>
      <c r="D38" s="124">
        <v>143074</v>
      </c>
      <c r="E38" s="138">
        <v>8.64</v>
      </c>
    </row>
    <row r="39" spans="1:5" x14ac:dyDescent="0.35">
      <c r="A39" s="2" t="s">
        <v>104</v>
      </c>
      <c r="B39" t="s">
        <v>463</v>
      </c>
      <c r="C39" s="124">
        <v>20567</v>
      </c>
      <c r="D39" s="124">
        <v>6912</v>
      </c>
      <c r="E39" s="138">
        <v>2.98</v>
      </c>
    </row>
    <row r="40" spans="1:5" x14ac:dyDescent="0.35">
      <c r="A40" s="2" t="s">
        <v>105</v>
      </c>
      <c r="B40" t="s">
        <v>461</v>
      </c>
      <c r="C40" s="124">
        <v>1017543</v>
      </c>
      <c r="D40" s="124">
        <v>118765</v>
      </c>
      <c r="E40" s="138">
        <v>8.57</v>
      </c>
    </row>
    <row r="41" spans="1:5" x14ac:dyDescent="0.35">
      <c r="A41" s="2" t="s">
        <v>105</v>
      </c>
      <c r="B41" t="s">
        <v>56</v>
      </c>
      <c r="C41" s="124">
        <v>5615288</v>
      </c>
      <c r="D41" s="124">
        <v>644801</v>
      </c>
      <c r="E41" s="138">
        <v>8.7100000000000009</v>
      </c>
    </row>
    <row r="42" spans="1:5" x14ac:dyDescent="0.35">
      <c r="A42" s="2" t="s">
        <v>105</v>
      </c>
      <c r="B42" t="s">
        <v>57</v>
      </c>
      <c r="C42" s="124">
        <v>5081563</v>
      </c>
      <c r="D42" s="124">
        <v>599209</v>
      </c>
      <c r="E42" s="138">
        <v>8.48</v>
      </c>
    </row>
    <row r="43" spans="1:5" x14ac:dyDescent="0.35">
      <c r="A43" s="2" t="s">
        <v>105</v>
      </c>
      <c r="B43" t="s">
        <v>58</v>
      </c>
      <c r="C43" s="124">
        <v>5274875</v>
      </c>
      <c r="D43" s="124">
        <v>609599</v>
      </c>
      <c r="E43" s="138">
        <v>8.65</v>
      </c>
    </row>
    <row r="44" spans="1:5" x14ac:dyDescent="0.35">
      <c r="A44" s="2" t="s">
        <v>105</v>
      </c>
      <c r="B44" t="s">
        <v>59</v>
      </c>
      <c r="C44" s="124">
        <v>4849293</v>
      </c>
      <c r="D44" s="124">
        <v>555507</v>
      </c>
      <c r="E44" s="138">
        <v>8.73</v>
      </c>
    </row>
    <row r="45" spans="1:5" x14ac:dyDescent="0.35">
      <c r="A45" s="2" t="s">
        <v>105</v>
      </c>
      <c r="B45" t="s">
        <v>60</v>
      </c>
      <c r="C45" s="124">
        <v>5441425</v>
      </c>
      <c r="D45" s="124">
        <v>634500</v>
      </c>
      <c r="E45" s="138">
        <v>8.58</v>
      </c>
    </row>
    <row r="46" spans="1:5" x14ac:dyDescent="0.35">
      <c r="A46" s="2" t="s">
        <v>105</v>
      </c>
      <c r="B46" t="s">
        <v>462</v>
      </c>
      <c r="C46" s="124">
        <v>3158396</v>
      </c>
      <c r="D46" s="124">
        <v>365867</v>
      </c>
      <c r="E46" s="138">
        <v>8.6300000000000008</v>
      </c>
    </row>
    <row r="47" spans="1:5" x14ac:dyDescent="0.35">
      <c r="A47" s="2" t="s">
        <v>105</v>
      </c>
      <c r="B47" t="s">
        <v>203</v>
      </c>
      <c r="C47" s="124">
        <v>1307356</v>
      </c>
      <c r="D47" s="124">
        <v>151163</v>
      </c>
      <c r="E47" s="138">
        <v>8.65</v>
      </c>
    </row>
    <row r="48" spans="1:5" x14ac:dyDescent="0.35">
      <c r="A48" s="8" t="s">
        <v>105</v>
      </c>
      <c r="B48" s="10" t="s">
        <v>463</v>
      </c>
      <c r="C48" s="125">
        <v>14780</v>
      </c>
      <c r="D48" s="125">
        <v>3944</v>
      </c>
      <c r="E48" s="139">
        <v>3.75</v>
      </c>
    </row>
    <row r="50" spans="1:1" x14ac:dyDescent="0.35">
      <c r="A50" t="s">
        <v>458</v>
      </c>
    </row>
    <row r="52" spans="1:1" x14ac:dyDescent="0.35">
      <c r="A52" t="s">
        <v>191</v>
      </c>
    </row>
    <row r="53" spans="1:1" x14ac:dyDescent="0.35">
      <c r="A53" t="s">
        <v>192</v>
      </c>
    </row>
    <row r="55" spans="1:1" x14ac:dyDescent="0.35">
      <c r="A5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E25"/>
  <sheetViews>
    <sheetView workbookViewId="0"/>
  </sheetViews>
  <sheetFormatPr defaultColWidth="10.90625" defaultRowHeight="14.5" x14ac:dyDescent="0.35"/>
  <cols>
    <col min="1" max="1" width="16.7265625" customWidth="1"/>
    <col min="2" max="2" width="12.7265625" customWidth="1"/>
    <col min="3" max="3" width="17.7265625" customWidth="1"/>
    <col min="4" max="4" width="18.7265625" customWidth="1"/>
    <col min="5" max="5" width="29.7265625" customWidth="1"/>
  </cols>
  <sheetData>
    <row r="1" spans="1:5" x14ac:dyDescent="0.35">
      <c r="A1" t="s">
        <v>469</v>
      </c>
    </row>
    <row r="3" spans="1:5" x14ac:dyDescent="0.35">
      <c r="A3" s="5" t="s">
        <v>460</v>
      </c>
      <c r="B3" s="4" t="s">
        <v>41</v>
      </c>
      <c r="C3" s="4" t="s">
        <v>467</v>
      </c>
      <c r="D3" s="4" t="s">
        <v>66</v>
      </c>
      <c r="E3" s="6" t="s">
        <v>468</v>
      </c>
    </row>
    <row r="4" spans="1:5" x14ac:dyDescent="0.35">
      <c r="A4" s="2" t="s">
        <v>101</v>
      </c>
      <c r="B4" t="s">
        <v>45</v>
      </c>
      <c r="C4" s="126">
        <v>15963596</v>
      </c>
      <c r="D4" s="126">
        <v>1956074</v>
      </c>
      <c r="E4" s="138">
        <v>8.16</v>
      </c>
    </row>
    <row r="5" spans="1:5" x14ac:dyDescent="0.35">
      <c r="A5" s="2" t="s">
        <v>101</v>
      </c>
      <c r="B5" t="s">
        <v>465</v>
      </c>
      <c r="C5" s="126">
        <v>6516849</v>
      </c>
      <c r="D5" s="126">
        <v>852052</v>
      </c>
      <c r="E5" s="138">
        <v>7.65</v>
      </c>
    </row>
    <row r="6" spans="1:5" x14ac:dyDescent="0.35">
      <c r="A6" s="2" t="s">
        <v>101</v>
      </c>
      <c r="B6" t="s">
        <v>463</v>
      </c>
      <c r="C6" s="126">
        <v>16009</v>
      </c>
      <c r="D6" s="126">
        <v>5893</v>
      </c>
      <c r="E6" s="138">
        <v>2.72</v>
      </c>
    </row>
    <row r="7" spans="1:5" x14ac:dyDescent="0.35">
      <c r="A7" s="2" t="s">
        <v>102</v>
      </c>
      <c r="B7" t="s">
        <v>45</v>
      </c>
      <c r="C7" s="126">
        <v>17214818</v>
      </c>
      <c r="D7" s="126">
        <v>1990604</v>
      </c>
      <c r="E7" s="138">
        <v>8.65</v>
      </c>
    </row>
    <row r="8" spans="1:5" x14ac:dyDescent="0.35">
      <c r="A8" s="2" t="s">
        <v>102</v>
      </c>
      <c r="B8" t="s">
        <v>465</v>
      </c>
      <c r="C8" s="126">
        <v>7071627</v>
      </c>
      <c r="D8" s="126">
        <v>864850</v>
      </c>
      <c r="E8" s="138">
        <v>8.18</v>
      </c>
    </row>
    <row r="9" spans="1:5" x14ac:dyDescent="0.35">
      <c r="A9" s="2" t="s">
        <v>102</v>
      </c>
      <c r="B9" t="s">
        <v>463</v>
      </c>
      <c r="C9" s="126">
        <v>12473</v>
      </c>
      <c r="D9" s="126">
        <v>3598</v>
      </c>
      <c r="E9" s="138">
        <v>3.47</v>
      </c>
    </row>
    <row r="10" spans="1:5" x14ac:dyDescent="0.35">
      <c r="A10" s="2" t="s">
        <v>103</v>
      </c>
      <c r="B10" t="s">
        <v>465</v>
      </c>
      <c r="C10" s="126">
        <v>7652540</v>
      </c>
      <c r="D10" s="126">
        <v>948723</v>
      </c>
      <c r="E10" s="138">
        <v>8.07</v>
      </c>
    </row>
    <row r="11" spans="1:5" x14ac:dyDescent="0.35">
      <c r="A11" s="2" t="s">
        <v>103</v>
      </c>
      <c r="B11" t="s">
        <v>45</v>
      </c>
      <c r="C11" s="126">
        <v>18612470</v>
      </c>
      <c r="D11" s="126">
        <v>2191294</v>
      </c>
      <c r="E11" s="138">
        <v>8.49</v>
      </c>
    </row>
    <row r="12" spans="1:5" x14ac:dyDescent="0.35">
      <c r="A12" s="2" t="s">
        <v>103</v>
      </c>
      <c r="B12" t="s">
        <v>463</v>
      </c>
      <c r="C12" s="126">
        <v>11737</v>
      </c>
      <c r="D12" s="126">
        <v>3231</v>
      </c>
      <c r="E12" s="138">
        <v>3.63</v>
      </c>
    </row>
    <row r="13" spans="1:5" x14ac:dyDescent="0.35">
      <c r="A13" s="2" t="s">
        <v>104</v>
      </c>
      <c r="B13" t="s">
        <v>465</v>
      </c>
      <c r="C13" s="126">
        <v>8507702</v>
      </c>
      <c r="D13" s="126">
        <v>1036288</v>
      </c>
      <c r="E13" s="138">
        <v>8.2100000000000009</v>
      </c>
    </row>
    <row r="14" spans="1:5" x14ac:dyDescent="0.35">
      <c r="A14" s="2" t="s">
        <v>104</v>
      </c>
      <c r="B14" t="s">
        <v>45</v>
      </c>
      <c r="C14" s="126">
        <v>20597636</v>
      </c>
      <c r="D14" s="126">
        <v>2387976</v>
      </c>
      <c r="E14" s="138">
        <v>8.6300000000000008</v>
      </c>
    </row>
    <row r="15" spans="1:5" x14ac:dyDescent="0.35">
      <c r="A15" s="2" t="s">
        <v>104</v>
      </c>
      <c r="B15" t="s">
        <v>463</v>
      </c>
      <c r="C15" s="126">
        <v>20552</v>
      </c>
      <c r="D15" s="126">
        <v>6909</v>
      </c>
      <c r="E15" s="138">
        <v>2.97</v>
      </c>
    </row>
    <row r="16" spans="1:5" x14ac:dyDescent="0.35">
      <c r="A16" s="2" t="s">
        <v>105</v>
      </c>
      <c r="B16" t="s">
        <v>45</v>
      </c>
      <c r="C16" s="126">
        <v>22375987</v>
      </c>
      <c r="D16" s="126">
        <v>2553511</v>
      </c>
      <c r="E16" s="138">
        <v>8.76</v>
      </c>
    </row>
    <row r="17" spans="1:5" x14ac:dyDescent="0.35">
      <c r="A17" s="2" t="s">
        <v>105</v>
      </c>
      <c r="B17" t="s">
        <v>465</v>
      </c>
      <c r="C17" s="126">
        <v>9369788</v>
      </c>
      <c r="D17" s="126">
        <v>1125904</v>
      </c>
      <c r="E17" s="138">
        <v>8.32</v>
      </c>
    </row>
    <row r="18" spans="1:5" x14ac:dyDescent="0.35">
      <c r="A18" s="8" t="s">
        <v>105</v>
      </c>
      <c r="B18" s="10" t="s">
        <v>463</v>
      </c>
      <c r="C18" s="127">
        <v>14744</v>
      </c>
      <c r="D18" s="127">
        <v>3940</v>
      </c>
      <c r="E18" s="139">
        <v>3.74</v>
      </c>
    </row>
    <row r="20" spans="1:5" x14ac:dyDescent="0.35">
      <c r="A20" t="s">
        <v>458</v>
      </c>
    </row>
    <row r="22" spans="1:5" x14ac:dyDescent="0.35">
      <c r="A22" t="s">
        <v>191</v>
      </c>
    </row>
    <row r="23" spans="1:5" x14ac:dyDescent="0.35">
      <c r="A23" t="s">
        <v>192</v>
      </c>
    </row>
    <row r="25" spans="1:5" x14ac:dyDescent="0.35">
      <c r="A25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D25"/>
  <sheetViews>
    <sheetView workbookViewId="0"/>
  </sheetViews>
  <sheetFormatPr defaultColWidth="10.90625" defaultRowHeight="14.5" x14ac:dyDescent="0.35"/>
  <cols>
    <col min="1" max="1" width="16.7265625" style="172" customWidth="1"/>
    <col min="2" max="2" width="43.7265625" customWidth="1"/>
    <col min="3" max="3" width="17.7265625" customWidth="1"/>
    <col min="4" max="4" width="60.7265625" customWidth="1"/>
  </cols>
  <sheetData>
    <row r="1" spans="1:4" x14ac:dyDescent="0.35">
      <c r="A1" s="172" t="s">
        <v>470</v>
      </c>
    </row>
    <row r="3" spans="1:4" x14ac:dyDescent="0.35">
      <c r="A3" s="173" t="s">
        <v>460</v>
      </c>
      <c r="B3" s="4" t="s">
        <v>471</v>
      </c>
      <c r="C3" s="4" t="s">
        <v>467</v>
      </c>
      <c r="D3" s="6" t="s">
        <v>472</v>
      </c>
    </row>
    <row r="4" spans="1:4" x14ac:dyDescent="0.35">
      <c r="A4" s="174">
        <v>2019</v>
      </c>
      <c r="B4" t="s">
        <v>473</v>
      </c>
      <c r="C4" s="128">
        <v>8569927.8805400096</v>
      </c>
      <c r="D4" s="129">
        <v>0.38094570611591899</v>
      </c>
    </row>
    <row r="5" spans="1:4" x14ac:dyDescent="0.35">
      <c r="A5" s="174">
        <v>2019</v>
      </c>
      <c r="B5" t="s">
        <v>474</v>
      </c>
      <c r="C5" s="128">
        <v>2513392.58341</v>
      </c>
      <c r="D5" s="129">
        <v>0.111723940478867</v>
      </c>
    </row>
    <row r="6" spans="1:4" x14ac:dyDescent="0.35">
      <c r="A6" s="174">
        <v>2019</v>
      </c>
      <c r="B6" t="s">
        <v>475</v>
      </c>
      <c r="C6" s="128">
        <v>11413134.39288</v>
      </c>
      <c r="D6" s="129">
        <v>0.50733035340521404</v>
      </c>
    </row>
    <row r="7" spans="1:4" x14ac:dyDescent="0.35">
      <c r="A7" s="174">
        <v>2020</v>
      </c>
      <c r="B7" t="s">
        <v>473</v>
      </c>
      <c r="C7" s="128">
        <v>8491239.5157099906</v>
      </c>
      <c r="D7" s="129">
        <v>0.349449279487554</v>
      </c>
    </row>
    <row r="8" spans="1:4" x14ac:dyDescent="0.35">
      <c r="A8" s="174">
        <v>2020</v>
      </c>
      <c r="B8" t="s">
        <v>474</v>
      </c>
      <c r="C8" s="128">
        <v>3563739.6542600002</v>
      </c>
      <c r="D8" s="129">
        <v>0.14666248103805299</v>
      </c>
    </row>
    <row r="9" spans="1:4" x14ac:dyDescent="0.35">
      <c r="A9" s="174">
        <v>2020</v>
      </c>
      <c r="B9" t="s">
        <v>475</v>
      </c>
      <c r="C9" s="128">
        <v>12243939.19713</v>
      </c>
      <c r="D9" s="129">
        <v>0.50388823947439298</v>
      </c>
    </row>
    <row r="10" spans="1:4" x14ac:dyDescent="0.35">
      <c r="A10" s="174">
        <v>2021</v>
      </c>
      <c r="B10" t="s">
        <v>473</v>
      </c>
      <c r="C10" s="128">
        <v>8913410.3342500199</v>
      </c>
      <c r="D10" s="129">
        <v>0.33921286228894498</v>
      </c>
    </row>
    <row r="11" spans="1:4" x14ac:dyDescent="0.35">
      <c r="A11" s="174">
        <v>2021</v>
      </c>
      <c r="B11" t="s">
        <v>474</v>
      </c>
      <c r="C11" s="128">
        <v>4060479.0234099999</v>
      </c>
      <c r="D11" s="129">
        <v>0.154527465935519</v>
      </c>
    </row>
    <row r="12" spans="1:4" x14ac:dyDescent="0.35">
      <c r="A12" s="174">
        <v>2021</v>
      </c>
      <c r="B12" t="s">
        <v>475</v>
      </c>
      <c r="C12" s="128">
        <v>13302856.972370001</v>
      </c>
      <c r="D12" s="129">
        <v>0.50625967177553499</v>
      </c>
    </row>
    <row r="13" spans="1:4" x14ac:dyDescent="0.35">
      <c r="A13" s="174">
        <v>2022</v>
      </c>
      <c r="B13" t="s">
        <v>473</v>
      </c>
      <c r="C13" s="128">
        <v>10035931.338710001</v>
      </c>
      <c r="D13" s="129">
        <v>0.344570800607432</v>
      </c>
    </row>
    <row r="14" spans="1:4" x14ac:dyDescent="0.35">
      <c r="A14" s="174">
        <v>2022</v>
      </c>
      <c r="B14" t="s">
        <v>474</v>
      </c>
      <c r="C14" s="128">
        <v>4715139.8840600001</v>
      </c>
      <c r="D14" s="129">
        <v>0.16188826626980701</v>
      </c>
    </row>
    <row r="15" spans="1:4" x14ac:dyDescent="0.35">
      <c r="A15" s="174">
        <v>2022</v>
      </c>
      <c r="B15" t="s">
        <v>475</v>
      </c>
      <c r="C15" s="128">
        <v>14374819.076169999</v>
      </c>
      <c r="D15" s="129">
        <v>0.49354093312275998</v>
      </c>
    </row>
    <row r="16" spans="1:4" x14ac:dyDescent="0.35">
      <c r="A16" s="174">
        <v>2023</v>
      </c>
      <c r="B16" t="s">
        <v>473</v>
      </c>
      <c r="C16" s="128">
        <v>10797103.73954</v>
      </c>
      <c r="D16" s="129">
        <v>0.33995364200974798</v>
      </c>
    </row>
    <row r="17" spans="1:4" x14ac:dyDescent="0.35">
      <c r="A17" s="174">
        <v>2023</v>
      </c>
      <c r="B17" t="s">
        <v>474</v>
      </c>
      <c r="C17" s="128">
        <v>5456401.96180999</v>
      </c>
      <c r="D17" s="129">
        <v>0.17179826775152099</v>
      </c>
    </row>
    <row r="18" spans="1:4" x14ac:dyDescent="0.35">
      <c r="A18" s="175">
        <v>2023</v>
      </c>
      <c r="B18" s="10" t="s">
        <v>475</v>
      </c>
      <c r="C18" s="130">
        <v>15507012.220179999</v>
      </c>
      <c r="D18" s="131">
        <v>0.488248090238731</v>
      </c>
    </row>
    <row r="20" spans="1:4" x14ac:dyDescent="0.35">
      <c r="A20" s="172" t="s">
        <v>458</v>
      </c>
    </row>
    <row r="22" spans="1:4" x14ac:dyDescent="0.35">
      <c r="A22" s="172" t="s">
        <v>191</v>
      </c>
    </row>
    <row r="23" spans="1:4" x14ac:dyDescent="0.35">
      <c r="A23" s="172" t="s">
        <v>192</v>
      </c>
    </row>
    <row r="25" spans="1:4" x14ac:dyDescent="0.35">
      <c r="A25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E60"/>
  <sheetViews>
    <sheetView workbookViewId="0"/>
  </sheetViews>
  <sheetFormatPr defaultColWidth="10.90625" defaultRowHeight="14.5" x14ac:dyDescent="0.35"/>
  <cols>
    <col min="1" max="1" width="6.7265625" style="172" customWidth="1"/>
    <col min="2" max="2" width="27.7265625" customWidth="1"/>
    <col min="3" max="3" width="26.7265625" customWidth="1"/>
    <col min="4" max="4" width="48.7265625" customWidth="1"/>
    <col min="5" max="5" width="27.7265625" customWidth="1"/>
  </cols>
  <sheetData>
    <row r="1" spans="1:5" x14ac:dyDescent="0.35">
      <c r="A1" s="172" t="s">
        <v>476</v>
      </c>
    </row>
    <row r="3" spans="1:5" x14ac:dyDescent="0.35">
      <c r="A3" s="173" t="s">
        <v>1</v>
      </c>
      <c r="B3" s="4" t="s">
        <v>229</v>
      </c>
      <c r="C3" s="4" t="s">
        <v>445</v>
      </c>
      <c r="D3" s="4" t="s">
        <v>477</v>
      </c>
      <c r="E3" s="6" t="s">
        <v>190</v>
      </c>
    </row>
    <row r="4" spans="1:5" x14ac:dyDescent="0.35">
      <c r="A4" s="174">
        <v>2019</v>
      </c>
      <c r="B4" t="s">
        <v>447</v>
      </c>
      <c r="C4" s="132">
        <v>3506.42</v>
      </c>
      <c r="D4" s="133">
        <v>0.15590000000000001</v>
      </c>
      <c r="E4" s="134">
        <v>515.71</v>
      </c>
    </row>
    <row r="5" spans="1:5" x14ac:dyDescent="0.35">
      <c r="A5" s="174">
        <v>2019</v>
      </c>
      <c r="B5" t="s">
        <v>448</v>
      </c>
      <c r="C5" s="132">
        <v>2555.1</v>
      </c>
      <c r="D5" s="133">
        <v>0.11360000000000001</v>
      </c>
      <c r="E5" s="134">
        <v>451.93</v>
      </c>
    </row>
    <row r="6" spans="1:5" x14ac:dyDescent="0.35">
      <c r="A6" s="174">
        <v>2019</v>
      </c>
      <c r="B6" t="s">
        <v>449</v>
      </c>
      <c r="C6" s="132">
        <v>2415.25</v>
      </c>
      <c r="D6" s="133">
        <v>0.1074</v>
      </c>
      <c r="E6" s="134">
        <v>258.14999999999998</v>
      </c>
    </row>
    <row r="7" spans="1:5" x14ac:dyDescent="0.35">
      <c r="A7" s="174">
        <v>2019</v>
      </c>
      <c r="B7" t="s">
        <v>450</v>
      </c>
      <c r="C7" s="132">
        <v>2047.81</v>
      </c>
      <c r="D7" s="133">
        <v>9.0999999999999998E-2</v>
      </c>
      <c r="E7" s="134">
        <v>523.83000000000004</v>
      </c>
    </row>
    <row r="8" spans="1:5" x14ac:dyDescent="0.35">
      <c r="A8" s="174">
        <v>2019</v>
      </c>
      <c r="B8" t="s">
        <v>451</v>
      </c>
      <c r="C8" s="132">
        <v>2032.84</v>
      </c>
      <c r="D8" s="133">
        <v>9.0399999999999994E-2</v>
      </c>
      <c r="E8" s="134">
        <v>536.61</v>
      </c>
    </row>
    <row r="9" spans="1:5" x14ac:dyDescent="0.35">
      <c r="A9" s="174">
        <v>2019</v>
      </c>
      <c r="B9" t="s">
        <v>452</v>
      </c>
      <c r="C9" s="132">
        <v>1425.87</v>
      </c>
      <c r="D9" s="133">
        <v>6.3399999999999998E-2</v>
      </c>
      <c r="E9" s="134">
        <v>241.16</v>
      </c>
    </row>
    <row r="10" spans="1:5" x14ac:dyDescent="0.35">
      <c r="A10" s="174">
        <v>2019</v>
      </c>
      <c r="B10" t="s">
        <v>453</v>
      </c>
      <c r="C10" s="132">
        <v>1339.43</v>
      </c>
      <c r="D10" s="133">
        <v>5.9499999999999997E-2</v>
      </c>
      <c r="E10" s="134">
        <v>181.88</v>
      </c>
    </row>
    <row r="11" spans="1:5" x14ac:dyDescent="0.35">
      <c r="A11" s="174">
        <v>2019</v>
      </c>
      <c r="B11" t="s">
        <v>454</v>
      </c>
      <c r="C11" s="132">
        <v>1335.83</v>
      </c>
      <c r="D11" s="133">
        <v>5.9400000000000001E-2</v>
      </c>
      <c r="E11" s="134">
        <v>214.04</v>
      </c>
    </row>
    <row r="12" spans="1:5" x14ac:dyDescent="0.35">
      <c r="A12" s="174">
        <v>2019</v>
      </c>
      <c r="B12" t="s">
        <v>455</v>
      </c>
      <c r="C12" s="132">
        <v>1212.1099999999999</v>
      </c>
      <c r="D12" s="133">
        <v>5.3900000000000003E-2</v>
      </c>
      <c r="E12" s="134">
        <v>177.04</v>
      </c>
    </row>
    <row r="13" spans="1:5" x14ac:dyDescent="0.35">
      <c r="A13" s="174">
        <v>2019</v>
      </c>
      <c r="B13" t="s">
        <v>456</v>
      </c>
      <c r="C13" s="132">
        <v>820.9</v>
      </c>
      <c r="D13" s="133">
        <v>3.6499999999999998E-2</v>
      </c>
      <c r="E13" s="134">
        <v>104.41</v>
      </c>
    </row>
    <row r="14" spans="1:5" x14ac:dyDescent="0.35">
      <c r="A14" s="174">
        <v>2020</v>
      </c>
      <c r="B14" t="s">
        <v>447</v>
      </c>
      <c r="C14" s="132">
        <v>3841.96</v>
      </c>
      <c r="D14" s="133">
        <v>0.15809999999999999</v>
      </c>
      <c r="E14" s="134">
        <v>528.69000000000005</v>
      </c>
    </row>
    <row r="15" spans="1:5" x14ac:dyDescent="0.35">
      <c r="A15" s="174">
        <v>2020</v>
      </c>
      <c r="B15" t="s">
        <v>448</v>
      </c>
      <c r="C15" s="132">
        <v>2910.33</v>
      </c>
      <c r="D15" s="133">
        <v>0.1198</v>
      </c>
      <c r="E15" s="134">
        <v>477.35</v>
      </c>
    </row>
    <row r="16" spans="1:5" x14ac:dyDescent="0.35">
      <c r="A16" s="174">
        <v>2020</v>
      </c>
      <c r="B16" t="s">
        <v>449</v>
      </c>
      <c r="C16" s="132">
        <v>2637.55</v>
      </c>
      <c r="D16" s="133">
        <v>0.1085</v>
      </c>
      <c r="E16" s="134">
        <v>261.64999999999998</v>
      </c>
    </row>
    <row r="17" spans="1:5" x14ac:dyDescent="0.35">
      <c r="A17" s="174">
        <v>2020</v>
      </c>
      <c r="B17" t="s">
        <v>451</v>
      </c>
      <c r="C17" s="132">
        <v>2341.98</v>
      </c>
      <c r="D17" s="133">
        <v>9.64E-2</v>
      </c>
      <c r="E17" s="134">
        <v>570.85</v>
      </c>
    </row>
    <row r="18" spans="1:5" x14ac:dyDescent="0.35">
      <c r="A18" s="174">
        <v>2020</v>
      </c>
      <c r="B18" t="s">
        <v>450</v>
      </c>
      <c r="C18" s="132">
        <v>1989.88</v>
      </c>
      <c r="D18" s="133">
        <v>8.1900000000000001E-2</v>
      </c>
      <c r="E18" s="134">
        <v>509.88</v>
      </c>
    </row>
    <row r="19" spans="1:5" x14ac:dyDescent="0.35">
      <c r="A19" s="174">
        <v>2020</v>
      </c>
      <c r="B19" t="s">
        <v>452</v>
      </c>
      <c r="C19" s="132">
        <v>1506.61</v>
      </c>
      <c r="D19" s="133">
        <v>6.2E-2</v>
      </c>
      <c r="E19" s="134">
        <v>234.97</v>
      </c>
    </row>
    <row r="20" spans="1:5" x14ac:dyDescent="0.35">
      <c r="A20" s="174">
        <v>2020</v>
      </c>
      <c r="B20" t="s">
        <v>454</v>
      </c>
      <c r="C20" s="132">
        <v>1416.02</v>
      </c>
      <c r="D20" s="133">
        <v>5.8299999999999998E-2</v>
      </c>
      <c r="E20" s="134">
        <v>209.78</v>
      </c>
    </row>
    <row r="21" spans="1:5" x14ac:dyDescent="0.35">
      <c r="A21" s="174">
        <v>2020</v>
      </c>
      <c r="B21" t="s">
        <v>453</v>
      </c>
      <c r="C21" s="132">
        <v>1350.39</v>
      </c>
      <c r="D21" s="133">
        <v>5.5599999999999997E-2</v>
      </c>
      <c r="E21" s="134">
        <v>167.37</v>
      </c>
    </row>
    <row r="22" spans="1:5" x14ac:dyDescent="0.35">
      <c r="A22" s="174">
        <v>2020</v>
      </c>
      <c r="B22" t="s">
        <v>455</v>
      </c>
      <c r="C22" s="132">
        <v>1260.58</v>
      </c>
      <c r="D22" s="133">
        <v>5.1900000000000002E-2</v>
      </c>
      <c r="E22" s="134">
        <v>174.81</v>
      </c>
    </row>
    <row r="23" spans="1:5" x14ac:dyDescent="0.35">
      <c r="A23" s="174">
        <v>2020</v>
      </c>
      <c r="B23" t="s">
        <v>457</v>
      </c>
      <c r="C23" s="132">
        <v>925.78</v>
      </c>
      <c r="D23" s="133">
        <v>3.8100000000000002E-2</v>
      </c>
      <c r="E23" s="134">
        <v>154.85</v>
      </c>
    </row>
    <row r="24" spans="1:5" x14ac:dyDescent="0.35">
      <c r="A24" s="174">
        <v>2021</v>
      </c>
      <c r="B24" t="s">
        <v>447</v>
      </c>
      <c r="C24" s="132">
        <v>4298.76</v>
      </c>
      <c r="D24" s="133">
        <v>0.1636</v>
      </c>
      <c r="E24" s="134">
        <v>602.46</v>
      </c>
    </row>
    <row r="25" spans="1:5" x14ac:dyDescent="0.35">
      <c r="A25" s="174">
        <v>2021</v>
      </c>
      <c r="B25" t="s">
        <v>448</v>
      </c>
      <c r="C25" s="132">
        <v>3350.3</v>
      </c>
      <c r="D25" s="133">
        <v>0.1275</v>
      </c>
      <c r="E25" s="134">
        <v>558.79999999999995</v>
      </c>
    </row>
    <row r="26" spans="1:5" x14ac:dyDescent="0.35">
      <c r="A26" s="174">
        <v>2021</v>
      </c>
      <c r="B26" t="s">
        <v>449</v>
      </c>
      <c r="C26" s="132">
        <v>2843.64</v>
      </c>
      <c r="D26" s="133">
        <v>0.1082</v>
      </c>
      <c r="E26" s="134">
        <v>284.22000000000003</v>
      </c>
    </row>
    <row r="27" spans="1:5" x14ac:dyDescent="0.35">
      <c r="A27" s="174">
        <v>2021</v>
      </c>
      <c r="B27" t="s">
        <v>451</v>
      </c>
      <c r="C27" s="132">
        <v>2621.25</v>
      </c>
      <c r="D27" s="133">
        <v>9.98E-2</v>
      </c>
      <c r="E27" s="134">
        <v>657.83</v>
      </c>
    </row>
    <row r="28" spans="1:5" x14ac:dyDescent="0.35">
      <c r="A28" s="174">
        <v>2021</v>
      </c>
      <c r="B28" t="s">
        <v>450</v>
      </c>
      <c r="C28" s="132">
        <v>1937.3</v>
      </c>
      <c r="D28" s="133">
        <v>7.3700000000000002E-2</v>
      </c>
      <c r="E28" s="134">
        <v>541.62</v>
      </c>
    </row>
    <row r="29" spans="1:5" x14ac:dyDescent="0.35">
      <c r="A29" s="174">
        <v>2021</v>
      </c>
      <c r="B29" t="s">
        <v>454</v>
      </c>
      <c r="C29" s="132">
        <v>1566.67</v>
      </c>
      <c r="D29" s="133">
        <v>5.96E-2</v>
      </c>
      <c r="E29" s="134">
        <v>234.06</v>
      </c>
    </row>
    <row r="30" spans="1:5" x14ac:dyDescent="0.35">
      <c r="A30" s="174">
        <v>2021</v>
      </c>
      <c r="B30" t="s">
        <v>452</v>
      </c>
      <c r="C30" s="132">
        <v>1534.77</v>
      </c>
      <c r="D30" s="133">
        <v>5.8400000000000001E-2</v>
      </c>
      <c r="E30" s="134">
        <v>242.44</v>
      </c>
    </row>
    <row r="31" spans="1:5" x14ac:dyDescent="0.35">
      <c r="A31" s="174">
        <v>2021</v>
      </c>
      <c r="B31" t="s">
        <v>455</v>
      </c>
      <c r="C31" s="132">
        <v>1324.74</v>
      </c>
      <c r="D31" s="133">
        <v>5.04E-2</v>
      </c>
      <c r="E31" s="134">
        <v>183.1</v>
      </c>
    </row>
    <row r="32" spans="1:5" x14ac:dyDescent="0.35">
      <c r="A32" s="174">
        <v>2021</v>
      </c>
      <c r="B32" t="s">
        <v>453</v>
      </c>
      <c r="C32" s="132">
        <v>1281.58</v>
      </c>
      <c r="D32" s="133">
        <v>4.8800000000000003E-2</v>
      </c>
      <c r="E32" s="134">
        <v>167.74</v>
      </c>
    </row>
    <row r="33" spans="1:5" x14ac:dyDescent="0.35">
      <c r="A33" s="174">
        <v>2021</v>
      </c>
      <c r="B33" t="s">
        <v>457</v>
      </c>
      <c r="C33" s="132">
        <v>1231.47</v>
      </c>
      <c r="D33" s="133">
        <v>4.6899999999999997E-2</v>
      </c>
      <c r="E33" s="134">
        <v>209.15</v>
      </c>
    </row>
    <row r="34" spans="1:5" x14ac:dyDescent="0.35">
      <c r="A34" s="174">
        <v>2022</v>
      </c>
      <c r="B34" t="s">
        <v>447</v>
      </c>
      <c r="C34" s="132">
        <v>4967.09</v>
      </c>
      <c r="D34" s="133">
        <v>0.17050000000000001</v>
      </c>
      <c r="E34" s="134">
        <v>691.1</v>
      </c>
    </row>
    <row r="35" spans="1:5" x14ac:dyDescent="0.35">
      <c r="A35" s="174">
        <v>2022</v>
      </c>
      <c r="B35" t="s">
        <v>448</v>
      </c>
      <c r="C35" s="132">
        <v>3876.54</v>
      </c>
      <c r="D35" s="133">
        <v>0.1331</v>
      </c>
      <c r="E35" s="134">
        <v>634.64</v>
      </c>
    </row>
    <row r="36" spans="1:5" x14ac:dyDescent="0.35">
      <c r="A36" s="174">
        <v>2022</v>
      </c>
      <c r="B36" t="s">
        <v>449</v>
      </c>
      <c r="C36" s="132">
        <v>3201.49</v>
      </c>
      <c r="D36" s="133">
        <v>0.1099</v>
      </c>
      <c r="E36" s="134">
        <v>313.61</v>
      </c>
    </row>
    <row r="37" spans="1:5" x14ac:dyDescent="0.35">
      <c r="A37" s="174">
        <v>2022</v>
      </c>
      <c r="B37" t="s">
        <v>451</v>
      </c>
      <c r="C37" s="132">
        <v>3061.67</v>
      </c>
      <c r="D37" s="133">
        <v>0.1051</v>
      </c>
      <c r="E37" s="134">
        <v>756.56</v>
      </c>
    </row>
    <row r="38" spans="1:5" x14ac:dyDescent="0.35">
      <c r="A38" s="174">
        <v>2022</v>
      </c>
      <c r="B38" t="s">
        <v>450</v>
      </c>
      <c r="C38" s="132">
        <v>1879.45</v>
      </c>
      <c r="D38" s="133">
        <v>6.4500000000000002E-2</v>
      </c>
      <c r="E38" s="134">
        <v>546.46</v>
      </c>
    </row>
    <row r="39" spans="1:5" x14ac:dyDescent="0.35">
      <c r="A39" s="174">
        <v>2022</v>
      </c>
      <c r="B39" t="s">
        <v>454</v>
      </c>
      <c r="C39" s="132">
        <v>1769.29</v>
      </c>
      <c r="D39" s="133">
        <v>6.0699999999999997E-2</v>
      </c>
      <c r="E39" s="134">
        <v>256.17</v>
      </c>
    </row>
    <row r="40" spans="1:5" x14ac:dyDescent="0.35">
      <c r="A40" s="174">
        <v>2022</v>
      </c>
      <c r="B40" t="s">
        <v>452</v>
      </c>
      <c r="C40" s="132">
        <v>1589.9</v>
      </c>
      <c r="D40" s="133">
        <v>5.4600000000000003E-2</v>
      </c>
      <c r="E40" s="134">
        <v>245.72</v>
      </c>
    </row>
    <row r="41" spans="1:5" x14ac:dyDescent="0.35">
      <c r="A41" s="174">
        <v>2022</v>
      </c>
      <c r="B41" t="s">
        <v>457</v>
      </c>
      <c r="C41" s="132">
        <v>1571.11</v>
      </c>
      <c r="D41" s="133">
        <v>5.3900000000000003E-2</v>
      </c>
      <c r="E41" s="134">
        <v>257.79000000000002</v>
      </c>
    </row>
    <row r="42" spans="1:5" x14ac:dyDescent="0.35">
      <c r="A42" s="174">
        <v>2022</v>
      </c>
      <c r="B42" t="s">
        <v>455</v>
      </c>
      <c r="C42" s="132">
        <v>1404.32</v>
      </c>
      <c r="D42" s="133">
        <v>4.82E-2</v>
      </c>
      <c r="E42" s="134">
        <v>189.33</v>
      </c>
    </row>
    <row r="43" spans="1:5" x14ac:dyDescent="0.35">
      <c r="A43" s="174">
        <v>2022</v>
      </c>
      <c r="B43" t="s">
        <v>453</v>
      </c>
      <c r="C43" s="132">
        <v>1235.08</v>
      </c>
      <c r="D43" s="133">
        <v>4.24E-2</v>
      </c>
      <c r="E43" s="134">
        <v>165.46</v>
      </c>
    </row>
    <row r="44" spans="1:5" x14ac:dyDescent="0.35">
      <c r="A44" s="174">
        <v>2023</v>
      </c>
      <c r="B44" t="s">
        <v>447</v>
      </c>
      <c r="C44" s="132">
        <v>5573.38</v>
      </c>
      <c r="D44" s="133">
        <v>0.17549999999999999</v>
      </c>
      <c r="E44" s="134">
        <v>766.16</v>
      </c>
    </row>
    <row r="45" spans="1:5" x14ac:dyDescent="0.35">
      <c r="A45" s="174">
        <v>2023</v>
      </c>
      <c r="B45" t="s">
        <v>448</v>
      </c>
      <c r="C45" s="132">
        <v>4317.24</v>
      </c>
      <c r="D45" s="133">
        <v>0.13589999999999999</v>
      </c>
      <c r="E45" s="134">
        <v>698.24</v>
      </c>
    </row>
    <row r="46" spans="1:5" x14ac:dyDescent="0.35">
      <c r="A46" s="174">
        <v>2023</v>
      </c>
      <c r="B46" t="s">
        <v>449</v>
      </c>
      <c r="C46" s="132">
        <v>3552.58</v>
      </c>
      <c r="D46" s="133">
        <v>0.1119</v>
      </c>
      <c r="E46" s="134">
        <v>341.53</v>
      </c>
    </row>
    <row r="47" spans="1:5" x14ac:dyDescent="0.35">
      <c r="A47" s="174">
        <v>2023</v>
      </c>
      <c r="B47" t="s">
        <v>451</v>
      </c>
      <c r="C47" s="132">
        <v>3508.27</v>
      </c>
      <c r="D47" s="133">
        <v>0.1105</v>
      </c>
      <c r="E47" s="134">
        <v>851.52</v>
      </c>
    </row>
    <row r="48" spans="1:5" x14ac:dyDescent="0.35">
      <c r="A48" s="174">
        <v>2023</v>
      </c>
      <c r="B48" t="s">
        <v>457</v>
      </c>
      <c r="C48" s="132">
        <v>1922.79</v>
      </c>
      <c r="D48" s="133">
        <v>6.0499999999999998E-2</v>
      </c>
      <c r="E48" s="134">
        <v>303.58999999999997</v>
      </c>
    </row>
    <row r="49" spans="1:5" x14ac:dyDescent="0.35">
      <c r="A49" s="174">
        <v>2023</v>
      </c>
      <c r="B49" t="s">
        <v>454</v>
      </c>
      <c r="C49" s="132">
        <v>1906.65</v>
      </c>
      <c r="D49" s="133">
        <v>0.06</v>
      </c>
      <c r="E49" s="134">
        <v>272.63</v>
      </c>
    </row>
    <row r="50" spans="1:5" x14ac:dyDescent="0.35">
      <c r="A50" s="174">
        <v>2023</v>
      </c>
      <c r="B50" t="s">
        <v>450</v>
      </c>
      <c r="C50" s="132">
        <v>1776.68</v>
      </c>
      <c r="D50" s="133">
        <v>5.5899999999999998E-2</v>
      </c>
      <c r="E50" s="134">
        <v>539.53</v>
      </c>
    </row>
    <row r="51" spans="1:5" x14ac:dyDescent="0.35">
      <c r="A51" s="174">
        <v>2023</v>
      </c>
      <c r="B51" t="s">
        <v>452</v>
      </c>
      <c r="C51" s="132">
        <v>1612.31</v>
      </c>
      <c r="D51" s="133">
        <v>5.0799999999999998E-2</v>
      </c>
      <c r="E51" s="134">
        <v>244.88</v>
      </c>
    </row>
    <row r="52" spans="1:5" x14ac:dyDescent="0.35">
      <c r="A52" s="174">
        <v>2023</v>
      </c>
      <c r="B52" t="s">
        <v>455</v>
      </c>
      <c r="C52" s="132">
        <v>1476.34</v>
      </c>
      <c r="D52" s="133">
        <v>4.65E-2</v>
      </c>
      <c r="E52" s="134">
        <v>188.14</v>
      </c>
    </row>
    <row r="53" spans="1:5" x14ac:dyDescent="0.35">
      <c r="A53" s="175">
        <v>2023</v>
      </c>
      <c r="B53" s="10" t="s">
        <v>453</v>
      </c>
      <c r="C53" s="135">
        <v>1187.3599999999999</v>
      </c>
      <c r="D53" s="136">
        <v>3.7400000000000003E-2</v>
      </c>
      <c r="E53" s="137">
        <v>160.66999999999999</v>
      </c>
    </row>
    <row r="55" spans="1:5" x14ac:dyDescent="0.35">
      <c r="A55" s="172" t="s">
        <v>458</v>
      </c>
    </row>
    <row r="57" spans="1:5" x14ac:dyDescent="0.35">
      <c r="A57" s="172" t="s">
        <v>191</v>
      </c>
    </row>
    <row r="58" spans="1:5" x14ac:dyDescent="0.35">
      <c r="A58" s="172" t="s">
        <v>192</v>
      </c>
    </row>
    <row r="60" spans="1:5" x14ac:dyDescent="0.35">
      <c r="A60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B18"/>
  <sheetViews>
    <sheetView workbookViewId="0">
      <selection activeCell="I20" sqref="I20"/>
    </sheetView>
  </sheetViews>
  <sheetFormatPr defaultColWidth="10.90625" defaultRowHeight="14.5" x14ac:dyDescent="0.35"/>
  <cols>
    <col min="1" max="1" width="15.7265625" customWidth="1"/>
    <col min="2" max="2" width="25.7265625" customWidth="1"/>
  </cols>
  <sheetData>
    <row r="1" spans="1:2" x14ac:dyDescent="0.35">
      <c r="A1" t="s">
        <v>478</v>
      </c>
    </row>
    <row r="3" spans="1:2" x14ac:dyDescent="0.35">
      <c r="A3" s="5" t="s">
        <v>65</v>
      </c>
      <c r="B3" s="6" t="s">
        <v>206</v>
      </c>
    </row>
    <row r="4" spans="1:2" x14ac:dyDescent="0.35">
      <c r="A4" s="2" t="s">
        <v>196</v>
      </c>
      <c r="B4" s="138">
        <v>24.2</v>
      </c>
    </row>
    <row r="5" spans="1:2" x14ac:dyDescent="0.35">
      <c r="A5" s="2" t="s">
        <v>197</v>
      </c>
      <c r="B5" s="138">
        <v>57.3</v>
      </c>
    </row>
    <row r="6" spans="1:2" x14ac:dyDescent="0.35">
      <c r="A6" s="2" t="s">
        <v>198</v>
      </c>
      <c r="B6" s="138">
        <v>36.9</v>
      </c>
    </row>
    <row r="7" spans="1:2" x14ac:dyDescent="0.35">
      <c r="A7" s="2" t="s">
        <v>199</v>
      </c>
      <c r="B7" s="138">
        <v>29.4</v>
      </c>
    </row>
    <row r="8" spans="1:2" x14ac:dyDescent="0.35">
      <c r="A8" s="2" t="s">
        <v>200</v>
      </c>
      <c r="B8" s="138">
        <v>24.7</v>
      </c>
    </row>
    <row r="9" spans="1:2" x14ac:dyDescent="0.35">
      <c r="A9" s="2" t="s">
        <v>201</v>
      </c>
      <c r="B9" s="138">
        <v>25.7</v>
      </c>
    </row>
    <row r="10" spans="1:2" x14ac:dyDescent="0.35">
      <c r="A10" s="2" t="s">
        <v>202</v>
      </c>
      <c r="B10" s="138">
        <v>16.3</v>
      </c>
    </row>
    <row r="11" spans="1:2" x14ac:dyDescent="0.35">
      <c r="A11" s="8" t="s">
        <v>203</v>
      </c>
      <c r="B11" s="139">
        <v>5.9</v>
      </c>
    </row>
    <row r="13" spans="1:2" x14ac:dyDescent="0.35">
      <c r="A13" t="s">
        <v>63</v>
      </c>
    </row>
    <row r="15" spans="1:2" x14ac:dyDescent="0.35">
      <c r="A15" t="s">
        <v>479</v>
      </c>
    </row>
    <row r="16" spans="1:2" x14ac:dyDescent="0.35">
      <c r="A16" t="s">
        <v>480</v>
      </c>
    </row>
    <row r="18" spans="1:1" x14ac:dyDescent="0.35">
      <c r="A18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19"/>
  <sheetViews>
    <sheetView workbookViewId="0"/>
  </sheetViews>
  <sheetFormatPr defaultColWidth="10.90625" defaultRowHeight="14.5" x14ac:dyDescent="0.35"/>
  <cols>
    <col min="1" max="1" width="15.7265625" customWidth="1"/>
    <col min="2" max="2" width="20.7265625" customWidth="1"/>
    <col min="3" max="3" width="34.7265625" customWidth="1"/>
    <col min="4" max="4" width="27.7265625" customWidth="1"/>
    <col min="5" max="5" width="7.7265625" customWidth="1"/>
    <col min="6" max="6" width="13.7265625" customWidth="1"/>
    <col min="7" max="7" width="8.7265625" customWidth="1"/>
  </cols>
  <sheetData>
    <row r="1" spans="1:7" x14ac:dyDescent="0.35">
      <c r="A1" t="s">
        <v>481</v>
      </c>
    </row>
    <row r="3" spans="1:7" x14ac:dyDescent="0.35">
      <c r="A3" s="5" t="s">
        <v>65</v>
      </c>
      <c r="B3" s="4" t="s">
        <v>482</v>
      </c>
      <c r="C3" s="4" t="s">
        <v>483</v>
      </c>
      <c r="D3" s="4" t="s">
        <v>484</v>
      </c>
      <c r="E3" s="4" t="s">
        <v>485</v>
      </c>
      <c r="F3" s="4" t="s">
        <v>486</v>
      </c>
      <c r="G3" s="6" t="s">
        <v>487</v>
      </c>
    </row>
    <row r="4" spans="1:7" x14ac:dyDescent="0.35">
      <c r="A4" s="2" t="s">
        <v>196</v>
      </c>
      <c r="B4" s="140">
        <v>24.2</v>
      </c>
      <c r="C4" s="141">
        <v>0.11</v>
      </c>
      <c r="D4">
        <v>240</v>
      </c>
      <c r="E4" s="177">
        <v>0.58599999999999997</v>
      </c>
      <c r="F4" s="177">
        <v>0.55300000000000005</v>
      </c>
      <c r="G4" s="189">
        <v>0.58399999999999996</v>
      </c>
    </row>
    <row r="5" spans="1:7" x14ac:dyDescent="0.35">
      <c r="A5" s="2" t="s">
        <v>197</v>
      </c>
      <c r="B5" s="140">
        <v>57.3</v>
      </c>
      <c r="C5" s="141">
        <v>0.26</v>
      </c>
      <c r="D5">
        <v>164</v>
      </c>
      <c r="E5" s="177">
        <v>0.46899999999999997</v>
      </c>
      <c r="F5" s="177">
        <v>0.53700000000000003</v>
      </c>
      <c r="G5" s="189">
        <v>0.47499999999999998</v>
      </c>
    </row>
    <row r="6" spans="1:7" x14ac:dyDescent="0.35">
      <c r="A6" s="2" t="s">
        <v>198</v>
      </c>
      <c r="B6" s="140">
        <v>36.9</v>
      </c>
      <c r="C6" s="141">
        <v>0.16800000000000001</v>
      </c>
      <c r="D6">
        <v>150</v>
      </c>
      <c r="E6" s="177">
        <v>0.44800000000000001</v>
      </c>
      <c r="F6" s="177">
        <v>0.53</v>
      </c>
      <c r="G6" s="189">
        <v>0.45700000000000002</v>
      </c>
    </row>
    <row r="7" spans="1:7" x14ac:dyDescent="0.35">
      <c r="A7" s="2" t="s">
        <v>199</v>
      </c>
      <c r="B7" s="140">
        <v>29.4</v>
      </c>
      <c r="C7" s="141">
        <v>0.13300000000000001</v>
      </c>
      <c r="D7">
        <v>140</v>
      </c>
      <c r="E7" s="177">
        <v>0.435</v>
      </c>
      <c r="F7" s="177">
        <v>0.51900000000000002</v>
      </c>
      <c r="G7" s="189">
        <v>0.44700000000000001</v>
      </c>
    </row>
    <row r="8" spans="1:7" x14ac:dyDescent="0.35">
      <c r="A8" s="2" t="s">
        <v>200</v>
      </c>
      <c r="B8" s="140">
        <v>24.7</v>
      </c>
      <c r="C8" s="141">
        <v>0.112</v>
      </c>
      <c r="D8">
        <v>127</v>
      </c>
      <c r="E8" s="177">
        <v>0.42499999999999999</v>
      </c>
      <c r="F8" s="177">
        <v>0.505</v>
      </c>
      <c r="G8" s="189">
        <v>0.437</v>
      </c>
    </row>
    <row r="9" spans="1:7" x14ac:dyDescent="0.35">
      <c r="A9" s="2" t="s">
        <v>201</v>
      </c>
      <c r="B9" s="140">
        <v>25.7</v>
      </c>
      <c r="C9" s="141">
        <v>0.11700000000000001</v>
      </c>
      <c r="D9">
        <v>129</v>
      </c>
      <c r="E9" s="177">
        <v>0.435</v>
      </c>
      <c r="F9" s="177">
        <v>0.504</v>
      </c>
      <c r="G9" s="189">
        <v>0.44500000000000001</v>
      </c>
    </row>
    <row r="10" spans="1:7" x14ac:dyDescent="0.35">
      <c r="A10" s="2" t="s">
        <v>202</v>
      </c>
      <c r="B10" s="140">
        <v>16.3</v>
      </c>
      <c r="C10" s="141">
        <v>7.3999999999999996E-2</v>
      </c>
      <c r="D10">
        <v>142</v>
      </c>
      <c r="E10" s="177">
        <v>0.45100000000000001</v>
      </c>
      <c r="F10" s="177">
        <v>0.51</v>
      </c>
      <c r="G10" s="189">
        <v>0.45900000000000002</v>
      </c>
    </row>
    <row r="11" spans="1:7" x14ac:dyDescent="0.35">
      <c r="A11" s="2" t="s">
        <v>203</v>
      </c>
      <c r="B11" s="140">
        <v>5.9</v>
      </c>
      <c r="C11" s="141">
        <v>2.7E-2</v>
      </c>
      <c r="D11">
        <v>150</v>
      </c>
      <c r="E11" s="177">
        <v>0.47099999999999997</v>
      </c>
      <c r="F11" s="177">
        <v>0.47799999999999998</v>
      </c>
      <c r="G11" s="189">
        <v>0.47199999999999998</v>
      </c>
    </row>
    <row r="12" spans="1:7" x14ac:dyDescent="0.35">
      <c r="A12" s="8" t="s">
        <v>236</v>
      </c>
      <c r="B12" s="142">
        <v>220.4</v>
      </c>
      <c r="C12" s="143">
        <v>1</v>
      </c>
      <c r="D12" s="10">
        <v>158</v>
      </c>
      <c r="E12" s="178">
        <v>0.46500000000000002</v>
      </c>
      <c r="F12" s="178">
        <v>0.51900000000000002</v>
      </c>
      <c r="G12" s="190">
        <v>0.47099999999999997</v>
      </c>
    </row>
    <row r="14" spans="1:7" x14ac:dyDescent="0.35">
      <c r="A14" t="s">
        <v>63</v>
      </c>
    </row>
    <row r="16" spans="1:7" x14ac:dyDescent="0.35">
      <c r="A16" t="s">
        <v>479</v>
      </c>
    </row>
    <row r="17" spans="1:1" x14ac:dyDescent="0.35">
      <c r="A17" t="s">
        <v>480</v>
      </c>
    </row>
    <row r="19" spans="1:1" x14ac:dyDescent="0.3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C42"/>
  <sheetViews>
    <sheetView workbookViewId="0"/>
  </sheetViews>
  <sheetFormatPr defaultColWidth="10.90625" defaultRowHeight="14.5" x14ac:dyDescent="0.35"/>
  <cols>
    <col min="1" max="1" width="15.7265625" customWidth="1"/>
    <col min="2" max="2" width="21.7265625" customWidth="1"/>
    <col min="3" max="3" width="18.7265625" customWidth="1"/>
  </cols>
  <sheetData>
    <row r="1" spans="1:3" x14ac:dyDescent="0.35">
      <c r="A1" t="s">
        <v>488</v>
      </c>
    </row>
    <row r="3" spans="1:3" x14ac:dyDescent="0.35">
      <c r="A3" s="5" t="s">
        <v>65</v>
      </c>
      <c r="B3" s="4" t="s">
        <v>489</v>
      </c>
      <c r="C3" s="6" t="s">
        <v>66</v>
      </c>
    </row>
    <row r="4" spans="1:3" x14ac:dyDescent="0.35">
      <c r="A4" s="2" t="s">
        <v>196</v>
      </c>
      <c r="B4" t="s">
        <v>490</v>
      </c>
      <c r="C4" s="144">
        <v>10051</v>
      </c>
    </row>
    <row r="5" spans="1:3" x14ac:dyDescent="0.35">
      <c r="A5" s="2" t="s">
        <v>196</v>
      </c>
      <c r="B5" t="s">
        <v>491</v>
      </c>
      <c r="C5" s="144">
        <v>2877</v>
      </c>
    </row>
    <row r="6" spans="1:3" x14ac:dyDescent="0.35">
      <c r="A6" s="2" t="s">
        <v>196</v>
      </c>
      <c r="B6" t="s">
        <v>492</v>
      </c>
      <c r="C6" s="144">
        <v>2182</v>
      </c>
    </row>
    <row r="7" spans="1:3" x14ac:dyDescent="0.35">
      <c r="A7" s="2" t="s">
        <v>196</v>
      </c>
      <c r="B7" t="s">
        <v>493</v>
      </c>
      <c r="C7" s="144">
        <v>9067</v>
      </c>
    </row>
    <row r="8" spans="1:3" x14ac:dyDescent="0.35">
      <c r="A8" s="2" t="s">
        <v>197</v>
      </c>
      <c r="B8" t="s">
        <v>490</v>
      </c>
      <c r="C8" s="144">
        <v>30083</v>
      </c>
    </row>
    <row r="9" spans="1:3" x14ac:dyDescent="0.35">
      <c r="A9" s="2" t="s">
        <v>197</v>
      </c>
      <c r="B9" t="s">
        <v>491</v>
      </c>
      <c r="C9" s="144">
        <v>6370</v>
      </c>
    </row>
    <row r="10" spans="1:3" x14ac:dyDescent="0.35">
      <c r="A10" s="2" t="s">
        <v>197</v>
      </c>
      <c r="B10" t="s">
        <v>492</v>
      </c>
      <c r="C10" s="144">
        <v>4437</v>
      </c>
    </row>
    <row r="11" spans="1:3" x14ac:dyDescent="0.35">
      <c r="A11" s="2" t="s">
        <v>197</v>
      </c>
      <c r="B11" t="s">
        <v>493</v>
      </c>
      <c r="C11" s="144">
        <v>16428</v>
      </c>
    </row>
    <row r="12" spans="1:3" x14ac:dyDescent="0.35">
      <c r="A12" s="2" t="s">
        <v>198</v>
      </c>
      <c r="B12" t="s">
        <v>490</v>
      </c>
      <c r="C12" s="144">
        <v>20061</v>
      </c>
    </row>
    <row r="13" spans="1:3" x14ac:dyDescent="0.35">
      <c r="A13" s="2" t="s">
        <v>198</v>
      </c>
      <c r="B13" t="s">
        <v>491</v>
      </c>
      <c r="C13" s="144">
        <v>3636</v>
      </c>
    </row>
    <row r="14" spans="1:3" x14ac:dyDescent="0.35">
      <c r="A14" s="2" t="s">
        <v>198</v>
      </c>
      <c r="B14" t="s">
        <v>492</v>
      </c>
      <c r="C14" s="144">
        <v>2457</v>
      </c>
    </row>
    <row r="15" spans="1:3" x14ac:dyDescent="0.35">
      <c r="A15" s="2" t="s">
        <v>198</v>
      </c>
      <c r="B15" t="s">
        <v>493</v>
      </c>
      <c r="C15" s="144">
        <v>10788</v>
      </c>
    </row>
    <row r="16" spans="1:3" x14ac:dyDescent="0.35">
      <c r="A16" s="2" t="s">
        <v>199</v>
      </c>
      <c r="B16" t="s">
        <v>490</v>
      </c>
      <c r="C16" s="144">
        <v>16243</v>
      </c>
    </row>
    <row r="17" spans="1:3" x14ac:dyDescent="0.35">
      <c r="A17" s="2" t="s">
        <v>199</v>
      </c>
      <c r="B17" t="s">
        <v>491</v>
      </c>
      <c r="C17" s="144">
        <v>2697</v>
      </c>
    </row>
    <row r="18" spans="1:3" x14ac:dyDescent="0.35">
      <c r="A18" s="2" t="s">
        <v>199</v>
      </c>
      <c r="B18" t="s">
        <v>492</v>
      </c>
      <c r="C18" s="144">
        <v>1797</v>
      </c>
    </row>
    <row r="19" spans="1:3" x14ac:dyDescent="0.35">
      <c r="A19" s="2" t="s">
        <v>199</v>
      </c>
      <c r="B19" t="s">
        <v>493</v>
      </c>
      <c r="C19" s="144">
        <v>8622</v>
      </c>
    </row>
    <row r="20" spans="1:3" x14ac:dyDescent="0.35">
      <c r="A20" s="2" t="s">
        <v>200</v>
      </c>
      <c r="B20" t="s">
        <v>490</v>
      </c>
      <c r="C20" s="144">
        <v>13877</v>
      </c>
    </row>
    <row r="21" spans="1:3" x14ac:dyDescent="0.35">
      <c r="A21" s="2" t="s">
        <v>200</v>
      </c>
      <c r="B21" t="s">
        <v>491</v>
      </c>
      <c r="C21" s="144">
        <v>2126</v>
      </c>
    </row>
    <row r="22" spans="1:3" x14ac:dyDescent="0.35">
      <c r="A22" s="2" t="s">
        <v>200</v>
      </c>
      <c r="B22" t="s">
        <v>492</v>
      </c>
      <c r="C22" s="144">
        <v>1383</v>
      </c>
    </row>
    <row r="23" spans="1:3" x14ac:dyDescent="0.35">
      <c r="A23" s="2" t="s">
        <v>200</v>
      </c>
      <c r="B23" t="s">
        <v>493</v>
      </c>
      <c r="C23" s="144">
        <v>7265</v>
      </c>
    </row>
    <row r="24" spans="1:3" x14ac:dyDescent="0.35">
      <c r="A24" s="2" t="s">
        <v>201</v>
      </c>
      <c r="B24" t="s">
        <v>490</v>
      </c>
      <c r="C24" s="144">
        <v>14250</v>
      </c>
    </row>
    <row r="25" spans="1:3" x14ac:dyDescent="0.35">
      <c r="A25" s="2" t="s">
        <v>201</v>
      </c>
      <c r="B25" t="s">
        <v>491</v>
      </c>
      <c r="C25" s="144">
        <v>2016</v>
      </c>
    </row>
    <row r="26" spans="1:3" x14ac:dyDescent="0.35">
      <c r="A26" s="2" t="s">
        <v>201</v>
      </c>
      <c r="B26" t="s">
        <v>492</v>
      </c>
      <c r="C26" s="144">
        <v>1340</v>
      </c>
    </row>
    <row r="27" spans="1:3" x14ac:dyDescent="0.35">
      <c r="A27" s="2" t="s">
        <v>201</v>
      </c>
      <c r="B27" t="s">
        <v>493</v>
      </c>
      <c r="C27" s="144">
        <v>8075</v>
      </c>
    </row>
    <row r="28" spans="1:3" x14ac:dyDescent="0.35">
      <c r="A28" s="2" t="s">
        <v>202</v>
      </c>
      <c r="B28" t="s">
        <v>490</v>
      </c>
      <c r="C28" s="144">
        <v>8838</v>
      </c>
    </row>
    <row r="29" spans="1:3" x14ac:dyDescent="0.35">
      <c r="A29" s="2" t="s">
        <v>202</v>
      </c>
      <c r="B29" t="s">
        <v>491</v>
      </c>
      <c r="C29" s="144">
        <v>1311</v>
      </c>
    </row>
    <row r="30" spans="1:3" x14ac:dyDescent="0.35">
      <c r="A30" s="2" t="s">
        <v>202</v>
      </c>
      <c r="B30" t="s">
        <v>492</v>
      </c>
      <c r="C30" s="144">
        <v>894</v>
      </c>
    </row>
    <row r="31" spans="1:3" x14ac:dyDescent="0.35">
      <c r="A31" s="2" t="s">
        <v>202</v>
      </c>
      <c r="B31" t="s">
        <v>493</v>
      </c>
      <c r="C31" s="144">
        <v>5302</v>
      </c>
    </row>
    <row r="32" spans="1:3" x14ac:dyDescent="0.35">
      <c r="A32" s="2" t="s">
        <v>203</v>
      </c>
      <c r="B32" t="s">
        <v>490</v>
      </c>
      <c r="C32" s="144">
        <v>3111</v>
      </c>
    </row>
    <row r="33" spans="1:3" x14ac:dyDescent="0.35">
      <c r="A33" s="2" t="s">
        <v>203</v>
      </c>
      <c r="B33" t="s">
        <v>491</v>
      </c>
      <c r="C33" s="144">
        <v>447</v>
      </c>
    </row>
    <row r="34" spans="1:3" x14ac:dyDescent="0.35">
      <c r="A34" s="2" t="s">
        <v>203</v>
      </c>
      <c r="B34" t="s">
        <v>492</v>
      </c>
      <c r="C34" s="144">
        <v>335</v>
      </c>
    </row>
    <row r="35" spans="1:3" x14ac:dyDescent="0.35">
      <c r="A35" s="8" t="s">
        <v>203</v>
      </c>
      <c r="B35" s="10" t="s">
        <v>493</v>
      </c>
      <c r="C35" s="145">
        <v>1994</v>
      </c>
    </row>
    <row r="37" spans="1:3" x14ac:dyDescent="0.35">
      <c r="A37" t="s">
        <v>63</v>
      </c>
    </row>
    <row r="39" spans="1:3" x14ac:dyDescent="0.35">
      <c r="A39" t="s">
        <v>479</v>
      </c>
    </row>
    <row r="40" spans="1:3" x14ac:dyDescent="0.35">
      <c r="A40" t="s">
        <v>480</v>
      </c>
    </row>
    <row r="42" spans="1:3" x14ac:dyDescent="0.35">
      <c r="A4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9"/>
  <sheetViews>
    <sheetView workbookViewId="0"/>
  </sheetViews>
  <sheetFormatPr defaultColWidth="10.90625" defaultRowHeight="14.5" x14ac:dyDescent="0.35"/>
  <cols>
    <col min="1" max="1" width="17.7265625" customWidth="1"/>
    <col min="2" max="2" width="18.7265625" customWidth="1"/>
    <col min="3" max="4" width="42.7265625" customWidth="1"/>
  </cols>
  <sheetData>
    <row r="1" spans="1:4" x14ac:dyDescent="0.35">
      <c r="A1" t="s">
        <v>48</v>
      </c>
    </row>
    <row r="3" spans="1:4" x14ac:dyDescent="0.35">
      <c r="A3" s="5" t="s">
        <v>2</v>
      </c>
      <c r="B3" s="4" t="s">
        <v>3</v>
      </c>
      <c r="C3" s="4" t="s">
        <v>4</v>
      </c>
      <c r="D3" s="6" t="s">
        <v>5</v>
      </c>
    </row>
    <row r="4" spans="1:4" x14ac:dyDescent="0.35">
      <c r="A4" s="2" t="s">
        <v>18</v>
      </c>
      <c r="B4" s="26">
        <v>4.9000000000000002E-2</v>
      </c>
      <c r="C4" s="26">
        <v>4.2000000000000003E-2</v>
      </c>
      <c r="D4" s="27">
        <v>5.6000000000000001E-2</v>
      </c>
    </row>
    <row r="5" spans="1:4" x14ac:dyDescent="0.35">
      <c r="A5" s="2" t="s">
        <v>24</v>
      </c>
      <c r="B5" s="26">
        <v>4.1000000000000002E-2</v>
      </c>
      <c r="C5" s="26">
        <v>3.5999999999999997E-2</v>
      </c>
      <c r="D5" s="27">
        <v>4.7E-2</v>
      </c>
    </row>
    <row r="6" spans="1:4" x14ac:dyDescent="0.35">
      <c r="A6" s="2" t="s">
        <v>37</v>
      </c>
      <c r="B6" s="26">
        <v>0.04</v>
      </c>
      <c r="C6" s="26">
        <v>3.5999999999999997E-2</v>
      </c>
      <c r="D6" s="27">
        <v>4.4999999999999998E-2</v>
      </c>
    </row>
    <row r="7" spans="1:4" x14ac:dyDescent="0.35">
      <c r="A7" s="2" t="s">
        <v>34</v>
      </c>
      <c r="B7" s="26">
        <v>3.9E-2</v>
      </c>
      <c r="C7" s="26">
        <v>3.5000000000000003E-2</v>
      </c>
      <c r="D7" s="27">
        <v>4.3999999999999997E-2</v>
      </c>
    </row>
    <row r="8" spans="1:4" x14ac:dyDescent="0.35">
      <c r="A8" s="2" t="s">
        <v>23</v>
      </c>
      <c r="B8" s="26">
        <v>3.9E-2</v>
      </c>
      <c r="C8" s="26">
        <v>3.4000000000000002E-2</v>
      </c>
      <c r="D8" s="27">
        <v>4.4999999999999998E-2</v>
      </c>
    </row>
    <row r="9" spans="1:4" x14ac:dyDescent="0.35">
      <c r="A9" s="2" t="s">
        <v>30</v>
      </c>
      <c r="B9" s="26">
        <v>3.9E-2</v>
      </c>
      <c r="C9" s="26">
        <v>3.4000000000000002E-2</v>
      </c>
      <c r="D9" s="27">
        <v>4.4999999999999998E-2</v>
      </c>
    </row>
    <row r="10" spans="1:4" x14ac:dyDescent="0.35">
      <c r="A10" s="2" t="s">
        <v>15</v>
      </c>
      <c r="B10" s="26">
        <v>3.7999999999999999E-2</v>
      </c>
      <c r="C10" s="26">
        <v>3.4000000000000002E-2</v>
      </c>
      <c r="D10" s="27">
        <v>4.3999999999999997E-2</v>
      </c>
    </row>
    <row r="11" spans="1:4" x14ac:dyDescent="0.35">
      <c r="A11" s="2" t="s">
        <v>21</v>
      </c>
      <c r="B11" s="26">
        <v>3.6999999999999998E-2</v>
      </c>
      <c r="C11" s="26">
        <v>3.3000000000000002E-2</v>
      </c>
      <c r="D11" s="27">
        <v>4.2000000000000003E-2</v>
      </c>
    </row>
    <row r="12" spans="1:4" x14ac:dyDescent="0.35">
      <c r="A12" s="2" t="s">
        <v>13</v>
      </c>
      <c r="B12" s="26">
        <v>3.5999999999999997E-2</v>
      </c>
      <c r="C12" s="26">
        <v>3.1E-2</v>
      </c>
      <c r="D12" s="27">
        <v>4.2000000000000003E-2</v>
      </c>
    </row>
    <row r="13" spans="1:4" x14ac:dyDescent="0.35">
      <c r="A13" s="2" t="s">
        <v>36</v>
      </c>
      <c r="B13" s="26">
        <v>3.5000000000000003E-2</v>
      </c>
      <c r="C13" s="26">
        <v>3.1E-2</v>
      </c>
      <c r="D13" s="27">
        <v>0.04</v>
      </c>
    </row>
    <row r="14" spans="1:4" x14ac:dyDescent="0.35">
      <c r="A14" s="2" t="s">
        <v>16</v>
      </c>
      <c r="B14" s="26">
        <v>3.3000000000000002E-2</v>
      </c>
      <c r="C14" s="26">
        <v>2.9000000000000001E-2</v>
      </c>
      <c r="D14" s="27">
        <v>3.7999999999999999E-2</v>
      </c>
    </row>
    <row r="15" spans="1:4" x14ac:dyDescent="0.35">
      <c r="A15" s="2" t="s">
        <v>14</v>
      </c>
      <c r="B15" s="26">
        <v>3.3000000000000002E-2</v>
      </c>
      <c r="C15" s="26">
        <v>0.03</v>
      </c>
      <c r="D15" s="27">
        <v>3.6999999999999998E-2</v>
      </c>
    </row>
    <row r="16" spans="1:4" x14ac:dyDescent="0.35">
      <c r="A16" s="2" t="s">
        <v>17</v>
      </c>
      <c r="B16" s="26">
        <v>3.3000000000000002E-2</v>
      </c>
      <c r="C16" s="26">
        <v>2.9000000000000001E-2</v>
      </c>
      <c r="D16" s="27">
        <v>3.6999999999999998E-2</v>
      </c>
    </row>
    <row r="17" spans="1:4" x14ac:dyDescent="0.35">
      <c r="A17" s="2" t="s">
        <v>7</v>
      </c>
      <c r="B17" s="26">
        <v>3.3000000000000002E-2</v>
      </c>
      <c r="C17" s="26">
        <v>2.9000000000000001E-2</v>
      </c>
      <c r="D17" s="27">
        <v>3.6999999999999998E-2</v>
      </c>
    </row>
    <row r="18" spans="1:4" x14ac:dyDescent="0.35">
      <c r="A18" s="2" t="s">
        <v>35</v>
      </c>
      <c r="B18" s="26">
        <v>3.3000000000000002E-2</v>
      </c>
      <c r="C18" s="26">
        <v>2.9000000000000001E-2</v>
      </c>
      <c r="D18" s="27">
        <v>3.5999999999999997E-2</v>
      </c>
    </row>
    <row r="19" spans="1:4" x14ac:dyDescent="0.35">
      <c r="A19" s="2" t="s">
        <v>27</v>
      </c>
      <c r="B19" s="26">
        <v>3.2000000000000001E-2</v>
      </c>
      <c r="C19" s="26">
        <v>2.9000000000000001E-2</v>
      </c>
      <c r="D19" s="27">
        <v>3.6999999999999998E-2</v>
      </c>
    </row>
    <row r="20" spans="1:4" x14ac:dyDescent="0.35">
      <c r="A20" s="2" t="s">
        <v>22</v>
      </c>
      <c r="B20" s="26">
        <v>3.2000000000000001E-2</v>
      </c>
      <c r="C20" s="26">
        <v>2.9000000000000001E-2</v>
      </c>
      <c r="D20" s="27">
        <v>3.5999999999999997E-2</v>
      </c>
    </row>
    <row r="21" spans="1:4" x14ac:dyDescent="0.35">
      <c r="A21" s="2" t="s">
        <v>12</v>
      </c>
      <c r="B21" s="26">
        <v>0.03</v>
      </c>
      <c r="C21" s="26">
        <v>2.5999999999999999E-2</v>
      </c>
      <c r="D21" s="27">
        <v>3.5000000000000003E-2</v>
      </c>
    </row>
    <row r="22" spans="1:4" x14ac:dyDescent="0.35">
      <c r="A22" s="2" t="s">
        <v>28</v>
      </c>
      <c r="B22" s="26">
        <v>0.03</v>
      </c>
      <c r="C22" s="26">
        <v>2.7E-2</v>
      </c>
      <c r="D22" s="27">
        <v>3.4000000000000002E-2</v>
      </c>
    </row>
    <row r="23" spans="1:4" x14ac:dyDescent="0.35">
      <c r="A23" s="2" t="s">
        <v>25</v>
      </c>
      <c r="B23" s="26">
        <v>0.03</v>
      </c>
      <c r="C23" s="26">
        <v>2.5999999999999999E-2</v>
      </c>
      <c r="D23" s="27">
        <v>3.4000000000000002E-2</v>
      </c>
    </row>
    <row r="24" spans="1:4" x14ac:dyDescent="0.35">
      <c r="A24" s="2" t="s">
        <v>26</v>
      </c>
      <c r="B24" s="26">
        <v>2.8000000000000001E-2</v>
      </c>
      <c r="C24" s="26">
        <v>2.5000000000000001E-2</v>
      </c>
      <c r="D24" s="27">
        <v>3.3000000000000002E-2</v>
      </c>
    </row>
    <row r="25" spans="1:4" x14ac:dyDescent="0.35">
      <c r="A25" s="2" t="s">
        <v>6</v>
      </c>
      <c r="B25" s="26">
        <v>2.8000000000000001E-2</v>
      </c>
      <c r="C25" s="26">
        <v>2.4E-2</v>
      </c>
      <c r="D25" s="27">
        <v>3.3000000000000002E-2</v>
      </c>
    </row>
    <row r="26" spans="1:4" x14ac:dyDescent="0.35">
      <c r="A26" s="2" t="s">
        <v>9</v>
      </c>
      <c r="B26" s="26">
        <v>2.7E-2</v>
      </c>
      <c r="C26" s="26">
        <v>2.4E-2</v>
      </c>
      <c r="D26" s="27">
        <v>3.2000000000000001E-2</v>
      </c>
    </row>
    <row r="27" spans="1:4" x14ac:dyDescent="0.35">
      <c r="A27" s="2" t="s">
        <v>33</v>
      </c>
      <c r="B27" s="26">
        <v>2.7E-2</v>
      </c>
      <c r="C27" s="26">
        <v>2.3E-2</v>
      </c>
      <c r="D27" s="27">
        <v>3.1E-2</v>
      </c>
    </row>
    <row r="28" spans="1:4" x14ac:dyDescent="0.35">
      <c r="A28" s="2" t="s">
        <v>10</v>
      </c>
      <c r="B28" s="26">
        <v>2.5999999999999999E-2</v>
      </c>
      <c r="C28" s="26">
        <v>2.3E-2</v>
      </c>
      <c r="D28" s="27">
        <v>3.1E-2</v>
      </c>
    </row>
    <row r="29" spans="1:4" x14ac:dyDescent="0.35">
      <c r="A29" s="2" t="s">
        <v>19</v>
      </c>
      <c r="B29" s="26">
        <v>2.5999999999999999E-2</v>
      </c>
      <c r="C29" s="26">
        <v>2.1999999999999999E-2</v>
      </c>
      <c r="D29" s="27">
        <v>0.03</v>
      </c>
    </row>
    <row r="30" spans="1:4" x14ac:dyDescent="0.35">
      <c r="A30" s="2" t="s">
        <v>20</v>
      </c>
      <c r="B30" s="26">
        <v>2.5000000000000001E-2</v>
      </c>
      <c r="C30" s="26">
        <v>2.1999999999999999E-2</v>
      </c>
      <c r="D30" s="27">
        <v>2.9000000000000001E-2</v>
      </c>
    </row>
    <row r="31" spans="1:4" x14ac:dyDescent="0.35">
      <c r="A31" s="2" t="s">
        <v>11</v>
      </c>
      <c r="B31" s="26">
        <v>2.5000000000000001E-2</v>
      </c>
      <c r="C31" s="26">
        <v>2.1000000000000001E-2</v>
      </c>
      <c r="D31" s="27">
        <v>2.9000000000000001E-2</v>
      </c>
    </row>
    <row r="32" spans="1:4" x14ac:dyDescent="0.35">
      <c r="A32" s="2" t="s">
        <v>29</v>
      </c>
      <c r="B32" s="26">
        <v>2.4E-2</v>
      </c>
      <c r="C32" s="26">
        <v>2.1000000000000001E-2</v>
      </c>
      <c r="D32" s="27">
        <v>2.7E-2</v>
      </c>
    </row>
    <row r="33" spans="1:4" x14ac:dyDescent="0.35">
      <c r="A33" s="2" t="s">
        <v>31</v>
      </c>
      <c r="B33" s="26">
        <v>2.4E-2</v>
      </c>
      <c r="C33" s="26">
        <v>0.02</v>
      </c>
      <c r="D33" s="27">
        <v>2.8000000000000001E-2</v>
      </c>
    </row>
    <row r="34" spans="1:4" x14ac:dyDescent="0.35">
      <c r="A34" s="2" t="s">
        <v>8</v>
      </c>
      <c r="B34" s="26">
        <v>2.4E-2</v>
      </c>
      <c r="C34" s="26">
        <v>0.02</v>
      </c>
      <c r="D34" s="27">
        <v>2.8000000000000001E-2</v>
      </c>
    </row>
    <row r="35" spans="1:4" x14ac:dyDescent="0.35">
      <c r="A35" s="8" t="s">
        <v>32</v>
      </c>
      <c r="B35" s="28">
        <v>2.1999999999999999E-2</v>
      </c>
      <c r="C35" s="28">
        <v>1.9E-2</v>
      </c>
      <c r="D35" s="29">
        <v>2.5999999999999999E-2</v>
      </c>
    </row>
    <row r="37" spans="1:4" x14ac:dyDescent="0.35">
      <c r="A37" t="s">
        <v>38</v>
      </c>
    </row>
    <row r="39" spans="1:4" x14ac:dyDescent="0.35">
      <c r="A3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E19"/>
  <sheetViews>
    <sheetView workbookViewId="0"/>
  </sheetViews>
  <sheetFormatPr defaultColWidth="10.90625" defaultRowHeight="14.5" x14ac:dyDescent="0.35"/>
  <cols>
    <col min="1" max="1" width="15.7265625" customWidth="1"/>
    <col min="2" max="2" width="62.7265625" customWidth="1"/>
    <col min="3" max="4" width="55.7265625" customWidth="1"/>
    <col min="5" max="5" width="63.7265625" customWidth="1"/>
  </cols>
  <sheetData>
    <row r="1" spans="1:5" x14ac:dyDescent="0.35">
      <c r="A1" t="s">
        <v>494</v>
      </c>
    </row>
    <row r="3" spans="1:5" x14ac:dyDescent="0.35">
      <c r="A3" s="5" t="s">
        <v>65</v>
      </c>
      <c r="B3" s="4" t="s">
        <v>495</v>
      </c>
      <c r="C3" s="4" t="s">
        <v>496</v>
      </c>
      <c r="D3" s="4" t="s">
        <v>497</v>
      </c>
      <c r="E3" s="6" t="s">
        <v>498</v>
      </c>
    </row>
    <row r="4" spans="1:5" x14ac:dyDescent="0.35">
      <c r="A4" s="2" t="s">
        <v>196</v>
      </c>
      <c r="B4" s="146">
        <v>0.41599999999999998</v>
      </c>
      <c r="C4" s="146">
        <v>0.11899999999999999</v>
      </c>
      <c r="D4" s="146">
        <v>0.09</v>
      </c>
      <c r="E4" s="147">
        <v>0.375</v>
      </c>
    </row>
    <row r="5" spans="1:5" x14ac:dyDescent="0.35">
      <c r="A5" s="2" t="s">
        <v>197</v>
      </c>
      <c r="B5" s="146">
        <v>0.52500000000000002</v>
      </c>
      <c r="C5" s="146">
        <v>0.111</v>
      </c>
      <c r="D5" s="146">
        <v>7.6999999999999999E-2</v>
      </c>
      <c r="E5" s="147">
        <v>0.28699999999999998</v>
      </c>
    </row>
    <row r="6" spans="1:5" x14ac:dyDescent="0.35">
      <c r="A6" s="2" t="s">
        <v>198</v>
      </c>
      <c r="B6" s="146">
        <v>0.54300000000000004</v>
      </c>
      <c r="C6" s="146">
        <v>9.8000000000000004E-2</v>
      </c>
      <c r="D6" s="146">
        <v>6.7000000000000004E-2</v>
      </c>
      <c r="E6" s="147">
        <v>0.29199999999999998</v>
      </c>
    </row>
    <row r="7" spans="1:5" x14ac:dyDescent="0.35">
      <c r="A7" s="2" t="s">
        <v>199</v>
      </c>
      <c r="B7" s="146">
        <v>0.55300000000000005</v>
      </c>
      <c r="C7" s="146">
        <v>9.1999999999999998E-2</v>
      </c>
      <c r="D7" s="146">
        <v>6.0999999999999999E-2</v>
      </c>
      <c r="E7" s="147">
        <v>0.29399999999999998</v>
      </c>
    </row>
    <row r="8" spans="1:5" x14ac:dyDescent="0.35">
      <c r="A8" s="2" t="s">
        <v>200</v>
      </c>
      <c r="B8" s="146">
        <v>0.56299999999999994</v>
      </c>
      <c r="C8" s="146">
        <v>8.5999999999999993E-2</v>
      </c>
      <c r="D8" s="146">
        <v>5.6000000000000001E-2</v>
      </c>
      <c r="E8" s="147">
        <v>0.29499999999999998</v>
      </c>
    </row>
    <row r="9" spans="1:5" x14ac:dyDescent="0.35">
      <c r="A9" s="2" t="s">
        <v>201</v>
      </c>
      <c r="B9" s="146">
        <v>0.55500000000000005</v>
      </c>
      <c r="C9" s="146">
        <v>7.8E-2</v>
      </c>
      <c r="D9" s="146">
        <v>5.1999999999999998E-2</v>
      </c>
      <c r="E9" s="147">
        <v>0.314</v>
      </c>
    </row>
    <row r="10" spans="1:5" x14ac:dyDescent="0.35">
      <c r="A10" s="2" t="s">
        <v>202</v>
      </c>
      <c r="B10" s="146">
        <v>0.54100000000000004</v>
      </c>
      <c r="C10" s="146">
        <v>0.08</v>
      </c>
      <c r="D10" s="146">
        <v>5.5E-2</v>
      </c>
      <c r="E10" s="147">
        <v>0.32400000000000001</v>
      </c>
    </row>
    <row r="11" spans="1:5" x14ac:dyDescent="0.35">
      <c r="A11" s="2" t="s">
        <v>203</v>
      </c>
      <c r="B11" s="146">
        <v>0.52800000000000002</v>
      </c>
      <c r="C11" s="146">
        <v>7.5999999999999998E-2</v>
      </c>
      <c r="D11" s="146">
        <v>5.7000000000000002E-2</v>
      </c>
      <c r="E11" s="147">
        <v>0.33900000000000002</v>
      </c>
    </row>
    <row r="12" spans="1:5" x14ac:dyDescent="0.35">
      <c r="A12" s="8" t="s">
        <v>236</v>
      </c>
      <c r="B12" s="148">
        <v>0.52900000000000003</v>
      </c>
      <c r="C12" s="148">
        <v>9.7000000000000003E-2</v>
      </c>
      <c r="D12" s="148">
        <v>6.7000000000000004E-2</v>
      </c>
      <c r="E12" s="149">
        <v>0.30599999999999999</v>
      </c>
    </row>
    <row r="14" spans="1:5" x14ac:dyDescent="0.35">
      <c r="A14" t="s">
        <v>63</v>
      </c>
    </row>
    <row r="16" spans="1:5" x14ac:dyDescent="0.35">
      <c r="A16" t="s">
        <v>479</v>
      </c>
    </row>
    <row r="17" spans="1:1" x14ac:dyDescent="0.35">
      <c r="A17" t="s">
        <v>480</v>
      </c>
    </row>
    <row r="19" spans="1:1" x14ac:dyDescent="0.3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B26"/>
  <sheetViews>
    <sheetView workbookViewId="0"/>
  </sheetViews>
  <sheetFormatPr defaultColWidth="10.90625" defaultRowHeight="14.5" x14ac:dyDescent="0.35"/>
  <cols>
    <col min="1" max="1" width="21.7265625" customWidth="1"/>
    <col min="2" max="2" width="9.7265625" customWidth="1"/>
  </cols>
  <sheetData>
    <row r="1" spans="1:2" x14ac:dyDescent="0.35">
      <c r="A1" t="s">
        <v>499</v>
      </c>
    </row>
    <row r="3" spans="1:2" x14ac:dyDescent="0.35">
      <c r="A3" s="5" t="s">
        <v>68</v>
      </c>
      <c r="B3" s="6" t="s">
        <v>50</v>
      </c>
    </row>
    <row r="4" spans="1:2" x14ac:dyDescent="0.35">
      <c r="A4" s="2" t="s">
        <v>69</v>
      </c>
      <c r="B4" s="150">
        <v>0.439</v>
      </c>
    </row>
    <row r="5" spans="1:2" x14ac:dyDescent="0.35">
      <c r="A5" s="2" t="s">
        <v>70</v>
      </c>
      <c r="B5" s="150">
        <v>0.47299999999999998</v>
      </c>
    </row>
    <row r="6" spans="1:2" x14ac:dyDescent="0.35">
      <c r="A6" s="2" t="s">
        <v>71</v>
      </c>
      <c r="B6" s="150">
        <v>0.46500000000000002</v>
      </c>
    </row>
    <row r="7" spans="1:2" x14ac:dyDescent="0.35">
      <c r="A7" s="2" t="s">
        <v>72</v>
      </c>
      <c r="B7" s="150">
        <v>0.44600000000000001</v>
      </c>
    </row>
    <row r="8" spans="1:2" x14ac:dyDescent="0.35">
      <c r="A8" s="2" t="s">
        <v>73</v>
      </c>
      <c r="B8" s="150">
        <v>0.46300000000000002</v>
      </c>
    </row>
    <row r="9" spans="1:2" x14ac:dyDescent="0.35">
      <c r="A9" s="2" t="s">
        <v>74</v>
      </c>
      <c r="B9" s="150">
        <v>0.46800000000000003</v>
      </c>
    </row>
    <row r="10" spans="1:2" x14ac:dyDescent="0.35">
      <c r="A10" s="2" t="s">
        <v>75</v>
      </c>
      <c r="B10" s="150">
        <v>0.49099999999999999</v>
      </c>
    </row>
    <row r="11" spans="1:2" x14ac:dyDescent="0.35">
      <c r="A11" s="2" t="s">
        <v>76</v>
      </c>
      <c r="B11" s="150">
        <v>0.46800000000000003</v>
      </c>
    </row>
    <row r="12" spans="1:2" x14ac:dyDescent="0.35">
      <c r="A12" s="2" t="s">
        <v>77</v>
      </c>
      <c r="B12" s="150">
        <v>0.45500000000000002</v>
      </c>
    </row>
    <row r="13" spans="1:2" x14ac:dyDescent="0.35">
      <c r="A13" s="2" t="s">
        <v>78</v>
      </c>
      <c r="B13" s="150">
        <v>0.48</v>
      </c>
    </row>
    <row r="14" spans="1:2" x14ac:dyDescent="0.35">
      <c r="A14" s="2" t="s">
        <v>79</v>
      </c>
      <c r="B14" s="150">
        <v>0.48199999999999998</v>
      </c>
    </row>
    <row r="15" spans="1:2" x14ac:dyDescent="0.35">
      <c r="A15" s="2" t="s">
        <v>80</v>
      </c>
      <c r="B15" s="150">
        <v>0.46400000000000002</v>
      </c>
    </row>
    <row r="16" spans="1:2" x14ac:dyDescent="0.35">
      <c r="A16" s="2" t="s">
        <v>81</v>
      </c>
      <c r="B16" s="150">
        <v>0.44500000000000001</v>
      </c>
    </row>
    <row r="17" spans="1:2" x14ac:dyDescent="0.35">
      <c r="A17" s="2" t="s">
        <v>82</v>
      </c>
      <c r="B17" s="150">
        <v>0.498</v>
      </c>
    </row>
    <row r="18" spans="1:2" x14ac:dyDescent="0.35">
      <c r="A18" s="2" t="s">
        <v>83</v>
      </c>
      <c r="B18" s="150">
        <v>0.45900000000000002</v>
      </c>
    </row>
    <row r="19" spans="1:2" x14ac:dyDescent="0.35">
      <c r="A19" s="8" t="s">
        <v>84</v>
      </c>
      <c r="B19" s="151">
        <v>0.47099999999999997</v>
      </c>
    </row>
    <row r="21" spans="1:2" x14ac:dyDescent="0.35">
      <c r="A21" t="s">
        <v>63</v>
      </c>
    </row>
    <row r="23" spans="1:2" x14ac:dyDescent="0.35">
      <c r="A23" t="s">
        <v>479</v>
      </c>
    </row>
    <row r="24" spans="1:2" x14ac:dyDescent="0.35">
      <c r="A24" t="s">
        <v>480</v>
      </c>
    </row>
    <row r="26" spans="1:2" x14ac:dyDescent="0.35">
      <c r="A26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C42"/>
  <sheetViews>
    <sheetView workbookViewId="0"/>
  </sheetViews>
  <sheetFormatPr defaultColWidth="10.90625" defaultRowHeight="14.5" x14ac:dyDescent="0.35"/>
  <cols>
    <col min="1" max="1" width="15.7265625" customWidth="1"/>
    <col min="2" max="2" width="8.7265625" customWidth="1"/>
    <col min="3" max="3" width="18.7265625" customWidth="1"/>
  </cols>
  <sheetData>
    <row r="1" spans="1:3" x14ac:dyDescent="0.35">
      <c r="A1" t="s">
        <v>500</v>
      </c>
    </row>
    <row r="3" spans="1:3" x14ac:dyDescent="0.35">
      <c r="A3" s="5" t="s">
        <v>65</v>
      </c>
      <c r="B3" s="4" t="s">
        <v>501</v>
      </c>
      <c r="C3" s="6" t="s">
        <v>66</v>
      </c>
    </row>
    <row r="4" spans="1:3" x14ac:dyDescent="0.35">
      <c r="A4" s="2" t="s">
        <v>196</v>
      </c>
      <c r="B4" t="s">
        <v>502</v>
      </c>
      <c r="C4" s="152">
        <v>322</v>
      </c>
    </row>
    <row r="5" spans="1:3" x14ac:dyDescent="0.35">
      <c r="A5" s="2" t="s">
        <v>196</v>
      </c>
      <c r="B5" t="s">
        <v>503</v>
      </c>
      <c r="C5" s="152">
        <v>2179</v>
      </c>
    </row>
    <row r="6" spans="1:3" x14ac:dyDescent="0.35">
      <c r="A6" s="2" t="s">
        <v>196</v>
      </c>
      <c r="B6" t="s">
        <v>504</v>
      </c>
      <c r="C6" s="152">
        <v>2832</v>
      </c>
    </row>
    <row r="7" spans="1:3" x14ac:dyDescent="0.35">
      <c r="A7" s="2" t="s">
        <v>196</v>
      </c>
      <c r="B7" t="s">
        <v>505</v>
      </c>
      <c r="C7" s="152">
        <v>8793</v>
      </c>
    </row>
    <row r="8" spans="1:3" x14ac:dyDescent="0.35">
      <c r="A8" s="2" t="s">
        <v>197</v>
      </c>
      <c r="B8" t="s">
        <v>502</v>
      </c>
      <c r="C8" s="152">
        <v>489</v>
      </c>
    </row>
    <row r="9" spans="1:3" x14ac:dyDescent="0.35">
      <c r="A9" s="2" t="s">
        <v>197</v>
      </c>
      <c r="B9" t="s">
        <v>503</v>
      </c>
      <c r="C9" s="152">
        <v>3203</v>
      </c>
    </row>
    <row r="10" spans="1:3" x14ac:dyDescent="0.35">
      <c r="A10" s="2" t="s">
        <v>197</v>
      </c>
      <c r="B10" t="s">
        <v>504</v>
      </c>
      <c r="C10" s="152">
        <v>5360</v>
      </c>
    </row>
    <row r="11" spans="1:3" x14ac:dyDescent="0.35">
      <c r="A11" s="2" t="s">
        <v>197</v>
      </c>
      <c r="B11" t="s">
        <v>505</v>
      </c>
      <c r="C11" s="152">
        <v>18183</v>
      </c>
    </row>
    <row r="12" spans="1:3" x14ac:dyDescent="0.35">
      <c r="A12" s="2" t="s">
        <v>198</v>
      </c>
      <c r="B12" t="s">
        <v>502</v>
      </c>
      <c r="C12" s="152">
        <v>444</v>
      </c>
    </row>
    <row r="13" spans="1:3" x14ac:dyDescent="0.35">
      <c r="A13" s="2" t="s">
        <v>198</v>
      </c>
      <c r="B13" t="s">
        <v>503</v>
      </c>
      <c r="C13" s="152">
        <v>2404</v>
      </c>
    </row>
    <row r="14" spans="1:3" x14ac:dyDescent="0.35">
      <c r="A14" s="2" t="s">
        <v>198</v>
      </c>
      <c r="B14" t="s">
        <v>504</v>
      </c>
      <c r="C14" s="152">
        <v>3625</v>
      </c>
    </row>
    <row r="15" spans="1:3" x14ac:dyDescent="0.35">
      <c r="A15" s="2" t="s">
        <v>198</v>
      </c>
      <c r="B15" t="s">
        <v>505</v>
      </c>
      <c r="C15" s="152">
        <v>10408</v>
      </c>
    </row>
    <row r="16" spans="1:3" x14ac:dyDescent="0.35">
      <c r="A16" s="2" t="s">
        <v>199</v>
      </c>
      <c r="B16" t="s">
        <v>502</v>
      </c>
      <c r="C16" s="152">
        <v>499</v>
      </c>
    </row>
    <row r="17" spans="1:3" x14ac:dyDescent="0.35">
      <c r="A17" s="2" t="s">
        <v>199</v>
      </c>
      <c r="B17" t="s">
        <v>503</v>
      </c>
      <c r="C17" s="152">
        <v>2076</v>
      </c>
    </row>
    <row r="18" spans="1:3" x14ac:dyDescent="0.35">
      <c r="A18" s="2" t="s">
        <v>199</v>
      </c>
      <c r="B18" t="s">
        <v>504</v>
      </c>
      <c r="C18" s="152">
        <v>2886</v>
      </c>
    </row>
    <row r="19" spans="1:3" x14ac:dyDescent="0.35">
      <c r="A19" s="2" t="s">
        <v>199</v>
      </c>
      <c r="B19" t="s">
        <v>505</v>
      </c>
      <c r="C19" s="152">
        <v>7655</v>
      </c>
    </row>
    <row r="20" spans="1:3" x14ac:dyDescent="0.35">
      <c r="A20" s="2" t="s">
        <v>200</v>
      </c>
      <c r="B20" t="s">
        <v>502</v>
      </c>
      <c r="C20" s="152">
        <v>480</v>
      </c>
    </row>
    <row r="21" spans="1:3" x14ac:dyDescent="0.35">
      <c r="A21" s="2" t="s">
        <v>200</v>
      </c>
      <c r="B21" t="s">
        <v>503</v>
      </c>
      <c r="C21" s="152">
        <v>1873</v>
      </c>
    </row>
    <row r="22" spans="1:3" x14ac:dyDescent="0.35">
      <c r="A22" s="2" t="s">
        <v>200</v>
      </c>
      <c r="B22" t="s">
        <v>504</v>
      </c>
      <c r="C22" s="152">
        <v>2421</v>
      </c>
    </row>
    <row r="23" spans="1:3" x14ac:dyDescent="0.35">
      <c r="A23" s="2" t="s">
        <v>200</v>
      </c>
      <c r="B23" t="s">
        <v>505</v>
      </c>
      <c r="C23" s="152">
        <v>6000</v>
      </c>
    </row>
    <row r="24" spans="1:3" x14ac:dyDescent="0.35">
      <c r="A24" s="2" t="s">
        <v>201</v>
      </c>
      <c r="B24" t="s">
        <v>502</v>
      </c>
      <c r="C24" s="152">
        <v>591</v>
      </c>
    </row>
    <row r="25" spans="1:3" x14ac:dyDescent="0.35">
      <c r="A25" s="2" t="s">
        <v>201</v>
      </c>
      <c r="B25" t="s">
        <v>503</v>
      </c>
      <c r="C25" s="152">
        <v>2130</v>
      </c>
    </row>
    <row r="26" spans="1:3" x14ac:dyDescent="0.35">
      <c r="A26" s="2" t="s">
        <v>201</v>
      </c>
      <c r="B26" t="s">
        <v>504</v>
      </c>
      <c r="C26" s="152">
        <v>2874</v>
      </c>
    </row>
    <row r="27" spans="1:3" x14ac:dyDescent="0.35">
      <c r="A27" s="2" t="s">
        <v>201</v>
      </c>
      <c r="B27" t="s">
        <v>505</v>
      </c>
      <c r="C27" s="152">
        <v>5836</v>
      </c>
    </row>
    <row r="28" spans="1:3" x14ac:dyDescent="0.35">
      <c r="A28" s="2" t="s">
        <v>202</v>
      </c>
      <c r="B28" t="s">
        <v>502</v>
      </c>
      <c r="C28" s="152">
        <v>376</v>
      </c>
    </row>
    <row r="29" spans="1:3" x14ac:dyDescent="0.35">
      <c r="A29" s="2" t="s">
        <v>202</v>
      </c>
      <c r="B29" t="s">
        <v>503</v>
      </c>
      <c r="C29" s="152">
        <v>1564</v>
      </c>
    </row>
    <row r="30" spans="1:3" x14ac:dyDescent="0.35">
      <c r="A30" s="2" t="s">
        <v>202</v>
      </c>
      <c r="B30" t="s">
        <v>504</v>
      </c>
      <c r="C30" s="152">
        <v>1937</v>
      </c>
    </row>
    <row r="31" spans="1:3" x14ac:dyDescent="0.35">
      <c r="A31" s="2" t="s">
        <v>202</v>
      </c>
      <c r="B31" t="s">
        <v>505</v>
      </c>
      <c r="C31" s="152">
        <v>3630</v>
      </c>
    </row>
    <row r="32" spans="1:3" x14ac:dyDescent="0.35">
      <c r="A32" s="2" t="s">
        <v>203</v>
      </c>
      <c r="B32" t="s">
        <v>502</v>
      </c>
      <c r="C32" s="152">
        <v>135</v>
      </c>
    </row>
    <row r="33" spans="1:3" x14ac:dyDescent="0.35">
      <c r="A33" s="2" t="s">
        <v>203</v>
      </c>
      <c r="B33" t="s">
        <v>503</v>
      </c>
      <c r="C33" s="152">
        <v>630</v>
      </c>
    </row>
    <row r="34" spans="1:3" x14ac:dyDescent="0.35">
      <c r="A34" s="2" t="s">
        <v>203</v>
      </c>
      <c r="B34" t="s">
        <v>504</v>
      </c>
      <c r="C34" s="152">
        <v>822</v>
      </c>
    </row>
    <row r="35" spans="1:3" x14ac:dyDescent="0.35">
      <c r="A35" s="8" t="s">
        <v>203</v>
      </c>
      <c r="B35" s="10" t="s">
        <v>505</v>
      </c>
      <c r="C35" s="153">
        <v>1189</v>
      </c>
    </row>
    <row r="37" spans="1:3" x14ac:dyDescent="0.35">
      <c r="A37" t="s">
        <v>63</v>
      </c>
    </row>
    <row r="39" spans="1:3" x14ac:dyDescent="0.35">
      <c r="A39" t="s">
        <v>479</v>
      </c>
    </row>
    <row r="40" spans="1:3" x14ac:dyDescent="0.35">
      <c r="A40" t="s">
        <v>480</v>
      </c>
    </row>
    <row r="42" spans="1:3" x14ac:dyDescent="0.35">
      <c r="A42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E19"/>
  <sheetViews>
    <sheetView workbookViewId="0"/>
  </sheetViews>
  <sheetFormatPr defaultColWidth="10.90625" defaultRowHeight="14.5" x14ac:dyDescent="0.35"/>
  <cols>
    <col min="1" max="1" width="15.7265625" customWidth="1"/>
    <col min="2" max="2" width="11.7265625" customWidth="1"/>
    <col min="3" max="4" width="12.7265625" customWidth="1"/>
    <col min="5" max="5" width="10.7265625" customWidth="1"/>
  </cols>
  <sheetData>
    <row r="1" spans="1:5" x14ac:dyDescent="0.35">
      <c r="A1" t="s">
        <v>506</v>
      </c>
    </row>
    <row r="3" spans="1:5" x14ac:dyDescent="0.35">
      <c r="A3" s="5" t="s">
        <v>65</v>
      </c>
      <c r="B3" s="4" t="s">
        <v>507</v>
      </c>
      <c r="C3" s="4" t="s">
        <v>508</v>
      </c>
      <c r="D3" s="4" t="s">
        <v>509</v>
      </c>
      <c r="E3" s="6" t="s">
        <v>510</v>
      </c>
    </row>
    <row r="4" spans="1:5" x14ac:dyDescent="0.35">
      <c r="A4" s="2" t="s">
        <v>196</v>
      </c>
      <c r="B4" s="154">
        <v>2.3E-2</v>
      </c>
      <c r="C4" s="154">
        <v>0.154</v>
      </c>
      <c r="D4" s="154">
        <v>0.2</v>
      </c>
      <c r="E4" s="155">
        <v>0.622</v>
      </c>
    </row>
    <row r="5" spans="1:5" x14ac:dyDescent="0.35">
      <c r="A5" s="2" t="s">
        <v>197</v>
      </c>
      <c r="B5" s="154">
        <v>1.7999999999999999E-2</v>
      </c>
      <c r="C5" s="154">
        <v>0.11799999999999999</v>
      </c>
      <c r="D5" s="154">
        <v>0.19700000000000001</v>
      </c>
      <c r="E5" s="155">
        <v>0.66800000000000004</v>
      </c>
    </row>
    <row r="6" spans="1:5" x14ac:dyDescent="0.35">
      <c r="A6" s="2" t="s">
        <v>198</v>
      </c>
      <c r="B6" s="154">
        <v>2.5999999999999999E-2</v>
      </c>
      <c r="C6" s="154">
        <v>0.14199999999999999</v>
      </c>
      <c r="D6" s="154">
        <v>0.215</v>
      </c>
      <c r="E6" s="155">
        <v>0.61699999999999999</v>
      </c>
    </row>
    <row r="7" spans="1:5" x14ac:dyDescent="0.35">
      <c r="A7" s="2" t="s">
        <v>199</v>
      </c>
      <c r="B7" s="154">
        <v>3.7999999999999999E-2</v>
      </c>
      <c r="C7" s="154">
        <v>0.158</v>
      </c>
      <c r="D7" s="154">
        <v>0.22</v>
      </c>
      <c r="E7" s="155">
        <v>0.58399999999999996</v>
      </c>
    </row>
    <row r="8" spans="1:5" x14ac:dyDescent="0.35">
      <c r="A8" s="2" t="s">
        <v>200</v>
      </c>
      <c r="B8" s="154">
        <v>4.4999999999999998E-2</v>
      </c>
      <c r="C8" s="154">
        <v>0.17399999999999999</v>
      </c>
      <c r="D8" s="154">
        <v>0.22500000000000001</v>
      </c>
      <c r="E8" s="155">
        <v>0.55700000000000005</v>
      </c>
    </row>
    <row r="9" spans="1:5" x14ac:dyDescent="0.35">
      <c r="A9" s="2" t="s">
        <v>201</v>
      </c>
      <c r="B9" s="154">
        <v>5.1999999999999998E-2</v>
      </c>
      <c r="C9" s="154">
        <v>0.186</v>
      </c>
      <c r="D9" s="154">
        <v>0.251</v>
      </c>
      <c r="E9" s="155">
        <v>0.51100000000000001</v>
      </c>
    </row>
    <row r="10" spans="1:5" x14ac:dyDescent="0.35">
      <c r="A10" s="2" t="s">
        <v>202</v>
      </c>
      <c r="B10" s="154">
        <v>0.05</v>
      </c>
      <c r="C10" s="154">
        <v>0.20799999999999999</v>
      </c>
      <c r="D10" s="154">
        <v>0.25800000000000001</v>
      </c>
      <c r="E10" s="155">
        <v>0.48399999999999999</v>
      </c>
    </row>
    <row r="11" spans="1:5" x14ac:dyDescent="0.35">
      <c r="A11" s="2" t="s">
        <v>203</v>
      </c>
      <c r="B11" s="154">
        <v>4.9000000000000002E-2</v>
      </c>
      <c r="C11" s="154">
        <v>0.22700000000000001</v>
      </c>
      <c r="D11" s="154">
        <v>0.29599999999999999</v>
      </c>
      <c r="E11" s="155">
        <v>0.42799999999999999</v>
      </c>
    </row>
    <row r="12" spans="1:5" x14ac:dyDescent="0.35">
      <c r="A12" s="8" t="s">
        <v>236</v>
      </c>
      <c r="B12" s="156">
        <v>3.2000000000000001E-2</v>
      </c>
      <c r="C12" s="156">
        <v>0.155</v>
      </c>
      <c r="D12" s="156">
        <v>0.219</v>
      </c>
      <c r="E12" s="157">
        <v>0.59399999999999997</v>
      </c>
    </row>
    <row r="14" spans="1:5" x14ac:dyDescent="0.35">
      <c r="A14" t="s">
        <v>63</v>
      </c>
    </row>
    <row r="16" spans="1:5" x14ac:dyDescent="0.35">
      <c r="A16" t="s">
        <v>479</v>
      </c>
    </row>
    <row r="17" spans="1:1" x14ac:dyDescent="0.35">
      <c r="A17" t="s">
        <v>480</v>
      </c>
    </row>
    <row r="19" spans="1:1" x14ac:dyDescent="0.35">
      <c r="A1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B18"/>
  <sheetViews>
    <sheetView workbookViewId="0">
      <selection activeCell="K23" sqref="K23"/>
    </sheetView>
  </sheetViews>
  <sheetFormatPr defaultColWidth="10.90625" defaultRowHeight="14.5" x14ac:dyDescent="0.35"/>
  <cols>
    <col min="1" max="1" width="6.7265625" style="172" customWidth="1"/>
    <col min="2" max="2" width="20.7265625" customWidth="1"/>
  </cols>
  <sheetData>
    <row r="1" spans="1:2" x14ac:dyDescent="0.35">
      <c r="A1" s="172" t="s">
        <v>511</v>
      </c>
    </row>
    <row r="3" spans="1:2" x14ac:dyDescent="0.35">
      <c r="A3" s="173" t="s">
        <v>1</v>
      </c>
      <c r="B3" s="6" t="s">
        <v>512</v>
      </c>
    </row>
    <row r="4" spans="1:2" x14ac:dyDescent="0.35">
      <c r="A4" s="174">
        <v>2013</v>
      </c>
      <c r="B4" s="158">
        <v>289810</v>
      </c>
    </row>
    <row r="5" spans="1:2" x14ac:dyDescent="0.35">
      <c r="A5" s="174">
        <v>2014</v>
      </c>
      <c r="B5" s="158">
        <v>287629</v>
      </c>
    </row>
    <row r="6" spans="1:2" x14ac:dyDescent="0.35">
      <c r="A6" s="174">
        <v>2015</v>
      </c>
      <c r="B6" s="158">
        <v>306148</v>
      </c>
    </row>
    <row r="7" spans="1:2" x14ac:dyDescent="0.35">
      <c r="A7" s="174">
        <v>2016</v>
      </c>
      <c r="B7" s="158">
        <v>312858</v>
      </c>
    </row>
    <row r="8" spans="1:2" x14ac:dyDescent="0.35">
      <c r="A8" s="174">
        <v>2017</v>
      </c>
      <c r="B8" s="158">
        <v>312030</v>
      </c>
    </row>
    <row r="9" spans="1:2" x14ac:dyDescent="0.35">
      <c r="A9" s="174">
        <v>2018</v>
      </c>
      <c r="B9" s="158">
        <v>300140</v>
      </c>
    </row>
    <row r="10" spans="1:2" x14ac:dyDescent="0.35">
      <c r="A10" s="174">
        <v>2019</v>
      </c>
      <c r="B10" s="158">
        <v>317969</v>
      </c>
    </row>
    <row r="11" spans="1:2" x14ac:dyDescent="0.35">
      <c r="A11" s="174">
        <v>2020</v>
      </c>
      <c r="B11" s="158">
        <v>385833</v>
      </c>
    </row>
    <row r="12" spans="1:2" x14ac:dyDescent="0.35">
      <c r="A12" s="174">
        <v>2021</v>
      </c>
      <c r="B12" s="158">
        <v>363038</v>
      </c>
    </row>
    <row r="13" spans="1:2" x14ac:dyDescent="0.35">
      <c r="A13" s="174">
        <v>2022</v>
      </c>
      <c r="B13" s="158">
        <v>347889</v>
      </c>
    </row>
    <row r="14" spans="1:2" x14ac:dyDescent="0.35">
      <c r="A14" s="175">
        <v>2023</v>
      </c>
      <c r="B14" s="159">
        <v>373667</v>
      </c>
    </row>
    <row r="16" spans="1:2" x14ac:dyDescent="0.35">
      <c r="A16" s="172" t="s">
        <v>513</v>
      </c>
    </row>
    <row r="18" spans="1:1" x14ac:dyDescent="0.35">
      <c r="A18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B18"/>
  <sheetViews>
    <sheetView workbookViewId="0">
      <selection activeCell="J22" sqref="J22"/>
    </sheetView>
  </sheetViews>
  <sheetFormatPr defaultColWidth="10.90625" defaultRowHeight="14.5" x14ac:dyDescent="0.35"/>
  <cols>
    <col min="1" max="1" width="6.7265625" style="172" customWidth="1"/>
    <col min="2" max="2" width="12.7265625" customWidth="1"/>
  </cols>
  <sheetData>
    <row r="1" spans="1:2" x14ac:dyDescent="0.35">
      <c r="A1" s="172" t="s">
        <v>514</v>
      </c>
    </row>
    <row r="3" spans="1:2" x14ac:dyDescent="0.35">
      <c r="A3" s="173" t="s">
        <v>1</v>
      </c>
      <c r="B3" s="6" t="s">
        <v>515</v>
      </c>
    </row>
    <row r="4" spans="1:2" x14ac:dyDescent="0.35">
      <c r="A4" s="174">
        <v>2013</v>
      </c>
      <c r="B4" s="160">
        <v>5388631</v>
      </c>
    </row>
    <row r="5" spans="1:2" x14ac:dyDescent="0.35">
      <c r="A5" s="174">
        <v>2014</v>
      </c>
      <c r="B5" s="160">
        <v>5332732</v>
      </c>
    </row>
    <row r="6" spans="1:2" x14ac:dyDescent="0.35">
      <c r="A6" s="174">
        <v>2015</v>
      </c>
      <c r="B6" s="160">
        <v>5754584</v>
      </c>
    </row>
    <row r="7" spans="1:2" x14ac:dyDescent="0.35">
      <c r="A7" s="174">
        <v>2016</v>
      </c>
      <c r="B7" s="160">
        <v>5859609</v>
      </c>
    </row>
    <row r="8" spans="1:2" x14ac:dyDescent="0.35">
      <c r="A8" s="174">
        <v>2017</v>
      </c>
      <c r="B8" s="160">
        <v>5835943</v>
      </c>
    </row>
    <row r="9" spans="1:2" x14ac:dyDescent="0.35">
      <c r="A9" s="174">
        <v>2018</v>
      </c>
      <c r="B9" s="160">
        <v>5657330</v>
      </c>
    </row>
    <row r="10" spans="1:2" x14ac:dyDescent="0.35">
      <c r="A10" s="174">
        <v>2019</v>
      </c>
      <c r="B10" s="160">
        <v>5983413</v>
      </c>
    </row>
    <row r="11" spans="1:2" x14ac:dyDescent="0.35">
      <c r="A11" s="174">
        <v>2020</v>
      </c>
      <c r="B11" s="160">
        <v>7803828</v>
      </c>
    </row>
    <row r="12" spans="1:2" x14ac:dyDescent="0.35">
      <c r="A12" s="174">
        <v>2021</v>
      </c>
      <c r="B12" s="160">
        <v>7330484</v>
      </c>
    </row>
    <row r="13" spans="1:2" x14ac:dyDescent="0.35">
      <c r="A13" s="174">
        <v>2022</v>
      </c>
      <c r="B13" s="160">
        <v>6948078</v>
      </c>
    </row>
    <row r="14" spans="1:2" x14ac:dyDescent="0.35">
      <c r="A14" s="175">
        <v>2023</v>
      </c>
      <c r="B14" s="161">
        <v>7493312</v>
      </c>
    </row>
    <row r="16" spans="1:2" x14ac:dyDescent="0.35">
      <c r="A16" s="172" t="s">
        <v>513</v>
      </c>
    </row>
    <row r="18" spans="1:1" x14ac:dyDescent="0.35">
      <c r="A18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B18"/>
  <sheetViews>
    <sheetView workbookViewId="0"/>
  </sheetViews>
  <sheetFormatPr defaultColWidth="10.90625" defaultRowHeight="14.5" x14ac:dyDescent="0.35"/>
  <cols>
    <col min="1" max="1" width="6.7265625" style="172" customWidth="1"/>
    <col min="2" max="2" width="39.7265625" customWidth="1"/>
  </cols>
  <sheetData>
    <row r="1" spans="1:2" x14ac:dyDescent="0.35">
      <c r="A1" s="172" t="s">
        <v>516</v>
      </c>
    </row>
    <row r="3" spans="1:2" x14ac:dyDescent="0.35">
      <c r="A3" s="173" t="s">
        <v>1</v>
      </c>
      <c r="B3" s="6" t="s">
        <v>517</v>
      </c>
    </row>
    <row r="4" spans="1:2" x14ac:dyDescent="0.35">
      <c r="A4" s="174">
        <v>2013</v>
      </c>
      <c r="B4" s="187">
        <v>18.59</v>
      </c>
    </row>
    <row r="5" spans="1:2" x14ac:dyDescent="0.35">
      <c r="A5" s="174">
        <v>2014</v>
      </c>
      <c r="B5" s="187">
        <v>18.54</v>
      </c>
    </row>
    <row r="6" spans="1:2" x14ac:dyDescent="0.35">
      <c r="A6" s="174">
        <v>2015</v>
      </c>
      <c r="B6" s="187">
        <v>18.8</v>
      </c>
    </row>
    <row r="7" spans="1:2" x14ac:dyDescent="0.35">
      <c r="A7" s="174">
        <v>2016</v>
      </c>
      <c r="B7" s="187">
        <v>18.73</v>
      </c>
    </row>
    <row r="8" spans="1:2" x14ac:dyDescent="0.35">
      <c r="A8" s="174">
        <v>2017</v>
      </c>
      <c r="B8" s="187">
        <v>18.7</v>
      </c>
    </row>
    <row r="9" spans="1:2" x14ac:dyDescent="0.35">
      <c r="A9" s="174">
        <v>2018</v>
      </c>
      <c r="B9" s="187">
        <v>18.850000000000001</v>
      </c>
    </row>
    <row r="10" spans="1:2" x14ac:dyDescent="0.35">
      <c r="A10" s="174">
        <v>2019</v>
      </c>
      <c r="B10" s="187">
        <v>18.82</v>
      </c>
    </row>
    <row r="11" spans="1:2" x14ac:dyDescent="0.35">
      <c r="A11" s="174">
        <v>2020</v>
      </c>
      <c r="B11" s="187">
        <v>20.23</v>
      </c>
    </row>
    <row r="12" spans="1:2" x14ac:dyDescent="0.35">
      <c r="A12" s="174">
        <v>2021</v>
      </c>
      <c r="B12" s="187">
        <v>20.190000000000001</v>
      </c>
    </row>
    <row r="13" spans="1:2" x14ac:dyDescent="0.35">
      <c r="A13" s="174">
        <v>2022</v>
      </c>
      <c r="B13" s="187">
        <v>19.97</v>
      </c>
    </row>
    <row r="14" spans="1:2" x14ac:dyDescent="0.35">
      <c r="A14" s="175">
        <v>2023</v>
      </c>
      <c r="B14" s="188">
        <v>20.05</v>
      </c>
    </row>
    <row r="16" spans="1:2" x14ac:dyDescent="0.35">
      <c r="A16" s="172" t="s">
        <v>513</v>
      </c>
    </row>
    <row r="18" spans="1:1" x14ac:dyDescent="0.35">
      <c r="A18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C40"/>
  <sheetViews>
    <sheetView workbookViewId="0"/>
  </sheetViews>
  <sheetFormatPr defaultColWidth="10.90625" defaultRowHeight="14.5" x14ac:dyDescent="0.35"/>
  <cols>
    <col min="1" max="1" width="6.7265625" style="172" customWidth="1"/>
    <col min="2" max="2" width="41.7265625" customWidth="1"/>
    <col min="3" max="3" width="9.7265625" customWidth="1"/>
  </cols>
  <sheetData>
    <row r="1" spans="1:3" x14ac:dyDescent="0.35">
      <c r="A1" s="172" t="s">
        <v>518</v>
      </c>
    </row>
    <row r="3" spans="1:3" x14ac:dyDescent="0.35">
      <c r="A3" s="173" t="s">
        <v>1</v>
      </c>
      <c r="B3" s="4" t="s">
        <v>519</v>
      </c>
      <c r="C3" s="6" t="s">
        <v>50</v>
      </c>
    </row>
    <row r="4" spans="1:3" x14ac:dyDescent="0.35">
      <c r="A4" s="174">
        <v>2013</v>
      </c>
      <c r="B4" t="s">
        <v>520</v>
      </c>
      <c r="C4" s="162">
        <v>8.1000000000000003E-2</v>
      </c>
    </row>
    <row r="5" spans="1:3" x14ac:dyDescent="0.35">
      <c r="A5" s="174">
        <v>2013</v>
      </c>
      <c r="B5" t="s">
        <v>521</v>
      </c>
      <c r="C5" s="162">
        <v>2.1999999999999999E-2</v>
      </c>
    </row>
    <row r="6" spans="1:3" x14ac:dyDescent="0.35">
      <c r="A6" s="174">
        <v>2013</v>
      </c>
      <c r="B6" t="s">
        <v>522</v>
      </c>
      <c r="C6" s="162">
        <v>3.0000000000000001E-3</v>
      </c>
    </row>
    <row r="7" spans="1:3" x14ac:dyDescent="0.35">
      <c r="A7" s="174">
        <v>2014</v>
      </c>
      <c r="B7" t="s">
        <v>520</v>
      </c>
      <c r="C7" s="162">
        <v>7.8E-2</v>
      </c>
    </row>
    <row r="8" spans="1:3" x14ac:dyDescent="0.35">
      <c r="A8" s="174">
        <v>2014</v>
      </c>
      <c r="B8" t="s">
        <v>521</v>
      </c>
      <c r="C8" s="162">
        <v>2.1000000000000001E-2</v>
      </c>
    </row>
    <row r="9" spans="1:3" x14ac:dyDescent="0.35">
      <c r="A9" s="174">
        <v>2014</v>
      </c>
      <c r="B9" t="s">
        <v>522</v>
      </c>
      <c r="C9" s="162">
        <v>3.0000000000000001E-3</v>
      </c>
    </row>
    <row r="10" spans="1:3" x14ac:dyDescent="0.35">
      <c r="A10" s="174">
        <v>2015</v>
      </c>
      <c r="B10" t="s">
        <v>520</v>
      </c>
      <c r="C10" s="162">
        <v>7.8E-2</v>
      </c>
    </row>
    <row r="11" spans="1:3" x14ac:dyDescent="0.35">
      <c r="A11" s="174">
        <v>2015</v>
      </c>
      <c r="B11" t="s">
        <v>521</v>
      </c>
      <c r="C11" s="162">
        <v>2.1000000000000001E-2</v>
      </c>
    </row>
    <row r="12" spans="1:3" x14ac:dyDescent="0.35">
      <c r="A12" s="174">
        <v>2015</v>
      </c>
      <c r="B12" t="s">
        <v>522</v>
      </c>
      <c r="C12" s="162">
        <v>3.0000000000000001E-3</v>
      </c>
    </row>
    <row r="13" spans="1:3" x14ac:dyDescent="0.35">
      <c r="A13" s="174">
        <v>2016</v>
      </c>
      <c r="B13" t="s">
        <v>520</v>
      </c>
      <c r="C13" s="162">
        <v>7.0000000000000007E-2</v>
      </c>
    </row>
    <row r="14" spans="1:3" x14ac:dyDescent="0.35">
      <c r="A14" s="174">
        <v>2016</v>
      </c>
      <c r="B14" t="s">
        <v>521</v>
      </c>
      <c r="C14" s="162">
        <v>1.7999999999999999E-2</v>
      </c>
    </row>
    <row r="15" spans="1:3" x14ac:dyDescent="0.35">
      <c r="A15" s="174">
        <v>2016</v>
      </c>
      <c r="B15" t="s">
        <v>522</v>
      </c>
      <c r="C15" s="162">
        <v>3.0000000000000001E-3</v>
      </c>
    </row>
    <row r="16" spans="1:3" x14ac:dyDescent="0.35">
      <c r="A16" s="174">
        <v>2017</v>
      </c>
      <c r="B16" t="s">
        <v>520</v>
      </c>
      <c r="C16" s="162">
        <v>7.0000000000000007E-2</v>
      </c>
    </row>
    <row r="17" spans="1:3" x14ac:dyDescent="0.35">
      <c r="A17" s="174">
        <v>2017</v>
      </c>
      <c r="B17" t="s">
        <v>521</v>
      </c>
      <c r="C17" s="162">
        <v>1.9E-2</v>
      </c>
    </row>
    <row r="18" spans="1:3" x14ac:dyDescent="0.35">
      <c r="A18" s="174">
        <v>2017</v>
      </c>
      <c r="B18" t="s">
        <v>522</v>
      </c>
      <c r="C18" s="162">
        <v>2E-3</v>
      </c>
    </row>
    <row r="19" spans="1:3" x14ac:dyDescent="0.35">
      <c r="A19" s="174">
        <v>2018</v>
      </c>
      <c r="B19" t="s">
        <v>520</v>
      </c>
      <c r="C19" s="162">
        <v>6.8000000000000005E-2</v>
      </c>
    </row>
    <row r="20" spans="1:3" x14ac:dyDescent="0.35">
      <c r="A20" s="174">
        <v>2018</v>
      </c>
      <c r="B20" t="s">
        <v>521</v>
      </c>
      <c r="C20" s="162">
        <v>1.7999999999999999E-2</v>
      </c>
    </row>
    <row r="21" spans="1:3" x14ac:dyDescent="0.35">
      <c r="A21" s="174">
        <v>2018</v>
      </c>
      <c r="B21" t="s">
        <v>522</v>
      </c>
      <c r="C21" s="162">
        <v>3.0000000000000001E-3</v>
      </c>
    </row>
    <row r="22" spans="1:3" x14ac:dyDescent="0.35">
      <c r="A22" s="174">
        <v>2019</v>
      </c>
      <c r="B22" t="s">
        <v>520</v>
      </c>
      <c r="C22" s="162">
        <v>6.3E-2</v>
      </c>
    </row>
    <row r="23" spans="1:3" x14ac:dyDescent="0.35">
      <c r="A23" s="174">
        <v>2019</v>
      </c>
      <c r="B23" t="s">
        <v>521</v>
      </c>
      <c r="C23" s="162">
        <v>1.7999999999999999E-2</v>
      </c>
    </row>
    <row r="24" spans="1:3" x14ac:dyDescent="0.35">
      <c r="A24" s="174">
        <v>2019</v>
      </c>
      <c r="B24" t="s">
        <v>522</v>
      </c>
      <c r="C24" s="162">
        <v>2E-3</v>
      </c>
    </row>
    <row r="25" spans="1:3" x14ac:dyDescent="0.35">
      <c r="A25" s="174">
        <v>2020</v>
      </c>
      <c r="B25" t="s">
        <v>520</v>
      </c>
      <c r="C25" s="162">
        <v>5.8999999999999997E-2</v>
      </c>
    </row>
    <row r="26" spans="1:3" x14ac:dyDescent="0.35">
      <c r="A26" s="174">
        <v>2020</v>
      </c>
      <c r="B26" t="s">
        <v>521</v>
      </c>
      <c r="C26" s="162">
        <v>1.7000000000000001E-2</v>
      </c>
    </row>
    <row r="27" spans="1:3" x14ac:dyDescent="0.35">
      <c r="A27" s="174">
        <v>2020</v>
      </c>
      <c r="B27" t="s">
        <v>522</v>
      </c>
      <c r="C27" s="162">
        <v>3.0000000000000001E-3</v>
      </c>
    </row>
    <row r="28" spans="1:3" x14ac:dyDescent="0.35">
      <c r="A28" s="174">
        <v>2021</v>
      </c>
      <c r="B28" t="s">
        <v>520</v>
      </c>
      <c r="C28" s="162">
        <v>5.7000000000000002E-2</v>
      </c>
    </row>
    <row r="29" spans="1:3" x14ac:dyDescent="0.35">
      <c r="A29" s="174">
        <v>2021</v>
      </c>
      <c r="B29" t="s">
        <v>521</v>
      </c>
      <c r="C29" s="162">
        <v>1.7000000000000001E-2</v>
      </c>
    </row>
    <row r="30" spans="1:3" x14ac:dyDescent="0.35">
      <c r="A30" s="174">
        <v>2021</v>
      </c>
      <c r="B30" t="s">
        <v>522</v>
      </c>
      <c r="C30" s="162">
        <v>2E-3</v>
      </c>
    </row>
    <row r="31" spans="1:3" x14ac:dyDescent="0.35">
      <c r="A31" s="174">
        <v>2022</v>
      </c>
      <c r="B31" t="s">
        <v>520</v>
      </c>
      <c r="C31" s="162">
        <v>5.7000000000000002E-2</v>
      </c>
    </row>
    <row r="32" spans="1:3" x14ac:dyDescent="0.35">
      <c r="A32" s="174">
        <v>2022</v>
      </c>
      <c r="B32" t="s">
        <v>521</v>
      </c>
      <c r="C32" s="162">
        <v>1.7000000000000001E-2</v>
      </c>
    </row>
    <row r="33" spans="1:3" x14ac:dyDescent="0.35">
      <c r="A33" s="174">
        <v>2022</v>
      </c>
      <c r="B33" t="s">
        <v>522</v>
      </c>
      <c r="C33" s="162">
        <v>3.0000000000000001E-3</v>
      </c>
    </row>
    <row r="34" spans="1:3" x14ac:dyDescent="0.35">
      <c r="A34" s="174">
        <v>2023</v>
      </c>
      <c r="B34" t="s">
        <v>520</v>
      </c>
      <c r="C34" s="162">
        <v>5.5E-2</v>
      </c>
    </row>
    <row r="35" spans="1:3" x14ac:dyDescent="0.35">
      <c r="A35" s="174">
        <v>2023</v>
      </c>
      <c r="B35" t="s">
        <v>521</v>
      </c>
      <c r="C35" s="162">
        <v>1.4E-2</v>
      </c>
    </row>
    <row r="36" spans="1:3" x14ac:dyDescent="0.35">
      <c r="A36" s="175">
        <v>2023</v>
      </c>
      <c r="B36" s="10" t="s">
        <v>522</v>
      </c>
      <c r="C36" s="163">
        <v>3.0000000000000001E-3</v>
      </c>
    </row>
    <row r="38" spans="1:3" x14ac:dyDescent="0.35">
      <c r="A38" s="172" t="s">
        <v>513</v>
      </c>
    </row>
    <row r="40" spans="1:3" x14ac:dyDescent="0.35">
      <c r="A40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C40"/>
  <sheetViews>
    <sheetView workbookViewId="0"/>
  </sheetViews>
  <sheetFormatPr defaultColWidth="10.90625" defaultRowHeight="14.5" x14ac:dyDescent="0.35"/>
  <cols>
    <col min="1" max="1" width="6.7265625" style="172" customWidth="1"/>
    <col min="2" max="2" width="41.7265625" customWidth="1"/>
    <col min="3" max="3" width="9.7265625" customWidth="1"/>
  </cols>
  <sheetData>
    <row r="1" spans="1:3" x14ac:dyDescent="0.35">
      <c r="A1" s="172" t="s">
        <v>523</v>
      </c>
    </row>
    <row r="3" spans="1:3" x14ac:dyDescent="0.35">
      <c r="A3" s="173" t="s">
        <v>1</v>
      </c>
      <c r="B3" s="4" t="s">
        <v>519</v>
      </c>
      <c r="C3" s="6" t="s">
        <v>50</v>
      </c>
    </row>
    <row r="4" spans="1:3" x14ac:dyDescent="0.35">
      <c r="A4" s="174">
        <v>2013</v>
      </c>
      <c r="B4" t="s">
        <v>520</v>
      </c>
      <c r="C4" s="164">
        <v>0.02</v>
      </c>
    </row>
    <row r="5" spans="1:3" x14ac:dyDescent="0.35">
      <c r="A5" s="174">
        <v>2013</v>
      </c>
      <c r="B5" t="s">
        <v>521</v>
      </c>
      <c r="C5" s="164">
        <v>8.0000000000000002E-3</v>
      </c>
    </row>
    <row r="6" spans="1:3" x14ac:dyDescent="0.35">
      <c r="A6" s="174">
        <v>2013</v>
      </c>
      <c r="B6" t="s">
        <v>522</v>
      </c>
      <c r="C6" s="164">
        <v>1E-3</v>
      </c>
    </row>
    <row r="7" spans="1:3" x14ac:dyDescent="0.35">
      <c r="A7" s="174">
        <v>2014</v>
      </c>
      <c r="B7" t="s">
        <v>520</v>
      </c>
      <c r="C7" s="164">
        <v>0.02</v>
      </c>
    </row>
    <row r="8" spans="1:3" x14ac:dyDescent="0.35">
      <c r="A8" s="174">
        <v>2014</v>
      </c>
      <c r="B8" t="s">
        <v>521</v>
      </c>
      <c r="C8" s="164">
        <v>7.0000000000000001E-3</v>
      </c>
    </row>
    <row r="9" spans="1:3" x14ac:dyDescent="0.35">
      <c r="A9" s="174">
        <v>2014</v>
      </c>
      <c r="B9" t="s">
        <v>522</v>
      </c>
      <c r="C9" s="164">
        <v>0</v>
      </c>
    </row>
    <row r="10" spans="1:3" x14ac:dyDescent="0.35">
      <c r="A10" s="174">
        <v>2015</v>
      </c>
      <c r="B10" t="s">
        <v>520</v>
      </c>
      <c r="C10" s="164">
        <v>1.9E-2</v>
      </c>
    </row>
    <row r="11" spans="1:3" x14ac:dyDescent="0.35">
      <c r="A11" s="174">
        <v>2015</v>
      </c>
      <c r="B11" t="s">
        <v>521</v>
      </c>
      <c r="C11" s="164">
        <v>7.0000000000000001E-3</v>
      </c>
    </row>
    <row r="12" spans="1:3" x14ac:dyDescent="0.35">
      <c r="A12" s="174">
        <v>2015</v>
      </c>
      <c r="B12" t="s">
        <v>522</v>
      </c>
      <c r="C12" s="164">
        <v>1E-3</v>
      </c>
    </row>
    <row r="13" spans="1:3" x14ac:dyDescent="0.35">
      <c r="A13" s="174">
        <v>2016</v>
      </c>
      <c r="B13" t="s">
        <v>520</v>
      </c>
      <c r="C13" s="164">
        <v>1.9E-2</v>
      </c>
    </row>
    <row r="14" spans="1:3" x14ac:dyDescent="0.35">
      <c r="A14" s="174">
        <v>2016</v>
      </c>
      <c r="B14" t="s">
        <v>521</v>
      </c>
      <c r="C14" s="164">
        <v>7.0000000000000001E-3</v>
      </c>
    </row>
    <row r="15" spans="1:3" x14ac:dyDescent="0.35">
      <c r="A15" s="174">
        <v>2016</v>
      </c>
      <c r="B15" t="s">
        <v>522</v>
      </c>
      <c r="C15" s="164">
        <v>1E-3</v>
      </c>
    </row>
    <row r="16" spans="1:3" x14ac:dyDescent="0.35">
      <c r="A16" s="174">
        <v>2017</v>
      </c>
      <c r="B16" t="s">
        <v>520</v>
      </c>
      <c r="C16" s="164">
        <v>1.9E-2</v>
      </c>
    </row>
    <row r="17" spans="1:3" x14ac:dyDescent="0.35">
      <c r="A17" s="174">
        <v>2017</v>
      </c>
      <c r="B17" t="s">
        <v>521</v>
      </c>
      <c r="C17" s="164">
        <v>7.0000000000000001E-3</v>
      </c>
    </row>
    <row r="18" spans="1:3" x14ac:dyDescent="0.35">
      <c r="A18" s="174">
        <v>2017</v>
      </c>
      <c r="B18" t="s">
        <v>522</v>
      </c>
      <c r="C18" s="164">
        <v>1E-3</v>
      </c>
    </row>
    <row r="19" spans="1:3" x14ac:dyDescent="0.35">
      <c r="A19" s="174">
        <v>2018</v>
      </c>
      <c r="B19" t="s">
        <v>520</v>
      </c>
      <c r="C19" s="164">
        <v>1.7999999999999999E-2</v>
      </c>
    </row>
    <row r="20" spans="1:3" x14ac:dyDescent="0.35">
      <c r="A20" s="174">
        <v>2018</v>
      </c>
      <c r="B20" t="s">
        <v>521</v>
      </c>
      <c r="C20" s="164">
        <v>7.0000000000000001E-3</v>
      </c>
    </row>
    <row r="21" spans="1:3" x14ac:dyDescent="0.35">
      <c r="A21" s="174">
        <v>2018</v>
      </c>
      <c r="B21" t="s">
        <v>522</v>
      </c>
      <c r="C21" s="164">
        <v>1E-3</v>
      </c>
    </row>
    <row r="22" spans="1:3" x14ac:dyDescent="0.35">
      <c r="A22" s="174">
        <v>2019</v>
      </c>
      <c r="B22" t="s">
        <v>520</v>
      </c>
      <c r="C22" s="164">
        <v>1.9E-2</v>
      </c>
    </row>
    <row r="23" spans="1:3" x14ac:dyDescent="0.35">
      <c r="A23" s="174">
        <v>2019</v>
      </c>
      <c r="B23" t="s">
        <v>521</v>
      </c>
      <c r="C23" s="164">
        <v>7.0000000000000001E-3</v>
      </c>
    </row>
    <row r="24" spans="1:3" x14ac:dyDescent="0.35">
      <c r="A24" s="174">
        <v>2019</v>
      </c>
      <c r="B24" t="s">
        <v>522</v>
      </c>
      <c r="C24" s="164">
        <v>1E-3</v>
      </c>
    </row>
    <row r="25" spans="1:3" x14ac:dyDescent="0.35">
      <c r="A25" s="174">
        <v>2020</v>
      </c>
      <c r="B25" t="s">
        <v>520</v>
      </c>
      <c r="C25" s="164">
        <v>1.7999999999999999E-2</v>
      </c>
    </row>
    <row r="26" spans="1:3" x14ac:dyDescent="0.35">
      <c r="A26" s="174">
        <v>2020</v>
      </c>
      <c r="B26" t="s">
        <v>521</v>
      </c>
      <c r="C26" s="164">
        <v>6.0000000000000001E-3</v>
      </c>
    </row>
    <row r="27" spans="1:3" x14ac:dyDescent="0.35">
      <c r="A27" s="174">
        <v>2020</v>
      </c>
      <c r="B27" t="s">
        <v>522</v>
      </c>
      <c r="C27" s="164">
        <v>1E-3</v>
      </c>
    </row>
    <row r="28" spans="1:3" x14ac:dyDescent="0.35">
      <c r="A28" s="174">
        <v>2021</v>
      </c>
      <c r="B28" t="s">
        <v>520</v>
      </c>
      <c r="C28" s="164">
        <v>1.9E-2</v>
      </c>
    </row>
    <row r="29" spans="1:3" x14ac:dyDescent="0.35">
      <c r="A29" s="174">
        <v>2021</v>
      </c>
      <c r="B29" t="s">
        <v>521</v>
      </c>
      <c r="C29" s="164">
        <v>7.0000000000000001E-3</v>
      </c>
    </row>
    <row r="30" spans="1:3" x14ac:dyDescent="0.35">
      <c r="A30" s="174">
        <v>2021</v>
      </c>
      <c r="B30" t="s">
        <v>522</v>
      </c>
      <c r="C30" s="164">
        <v>1E-3</v>
      </c>
    </row>
    <row r="31" spans="1:3" x14ac:dyDescent="0.35">
      <c r="A31" s="174">
        <v>2022</v>
      </c>
      <c r="B31" t="s">
        <v>520</v>
      </c>
      <c r="C31" s="164">
        <v>1.7999999999999999E-2</v>
      </c>
    </row>
    <row r="32" spans="1:3" x14ac:dyDescent="0.35">
      <c r="A32" s="174">
        <v>2022</v>
      </c>
      <c r="B32" t="s">
        <v>521</v>
      </c>
      <c r="C32" s="164">
        <v>6.0000000000000001E-3</v>
      </c>
    </row>
    <row r="33" spans="1:3" x14ac:dyDescent="0.35">
      <c r="A33" s="174">
        <v>2022</v>
      </c>
      <c r="B33" t="s">
        <v>522</v>
      </c>
      <c r="C33" s="164">
        <v>1E-3</v>
      </c>
    </row>
    <row r="34" spans="1:3" x14ac:dyDescent="0.35">
      <c r="A34" s="174">
        <v>2023</v>
      </c>
      <c r="B34" t="s">
        <v>520</v>
      </c>
      <c r="C34" s="164">
        <v>1.7999999999999999E-2</v>
      </c>
    </row>
    <row r="35" spans="1:3" x14ac:dyDescent="0.35">
      <c r="A35" s="174">
        <v>2023</v>
      </c>
      <c r="B35" t="s">
        <v>521</v>
      </c>
      <c r="C35" s="164">
        <v>5.0000000000000001E-3</v>
      </c>
    </row>
    <row r="36" spans="1:3" x14ac:dyDescent="0.35">
      <c r="A36" s="175">
        <v>2023</v>
      </c>
      <c r="B36" s="10" t="s">
        <v>522</v>
      </c>
      <c r="C36" s="165">
        <v>1E-3</v>
      </c>
    </row>
    <row r="38" spans="1:3" x14ac:dyDescent="0.35">
      <c r="A38" s="172" t="s">
        <v>513</v>
      </c>
    </row>
    <row r="40" spans="1:3" x14ac:dyDescent="0.35">
      <c r="A40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E18"/>
  <sheetViews>
    <sheetView workbookViewId="0"/>
  </sheetViews>
  <sheetFormatPr defaultColWidth="10.90625" defaultRowHeight="14.5" x14ac:dyDescent="0.35"/>
  <cols>
    <col min="1" max="1" width="6.7265625" style="172" customWidth="1"/>
    <col min="2" max="2" width="9.7265625" customWidth="1"/>
    <col min="3" max="4" width="32.7265625" customWidth="1"/>
    <col min="5" max="5" width="41.7265625" customWidth="1"/>
  </cols>
  <sheetData>
    <row r="1" spans="1:5" x14ac:dyDescent="0.35">
      <c r="A1" s="172" t="s">
        <v>524</v>
      </c>
    </row>
    <row r="3" spans="1:5" x14ac:dyDescent="0.35">
      <c r="A3" s="173" t="s">
        <v>1</v>
      </c>
      <c r="B3" s="4" t="s">
        <v>525</v>
      </c>
      <c r="C3" s="4" t="s">
        <v>520</v>
      </c>
      <c r="D3" s="4" t="s">
        <v>521</v>
      </c>
      <c r="E3" s="6" t="s">
        <v>522</v>
      </c>
    </row>
    <row r="4" spans="1:5" x14ac:dyDescent="0.35">
      <c r="A4" s="174">
        <v>2013</v>
      </c>
      <c r="B4" s="197">
        <v>7570</v>
      </c>
      <c r="C4" s="197">
        <v>6791</v>
      </c>
      <c r="D4" s="197">
        <v>739</v>
      </c>
      <c r="E4" s="198">
        <v>40</v>
      </c>
    </row>
    <row r="5" spans="1:5" x14ac:dyDescent="0.35">
      <c r="A5" s="174">
        <v>2014</v>
      </c>
      <c r="B5" s="197">
        <v>6724</v>
      </c>
      <c r="C5" s="197">
        <v>6055</v>
      </c>
      <c r="D5" s="197">
        <v>641</v>
      </c>
      <c r="E5" s="198">
        <v>28</v>
      </c>
    </row>
    <row r="6" spans="1:5" x14ac:dyDescent="0.35">
      <c r="A6" s="174">
        <v>2015</v>
      </c>
      <c r="B6" s="197">
        <v>5910</v>
      </c>
      <c r="C6" s="197">
        <v>5301</v>
      </c>
      <c r="D6" s="197">
        <v>576</v>
      </c>
      <c r="E6" s="198">
        <v>33</v>
      </c>
    </row>
    <row r="7" spans="1:5" x14ac:dyDescent="0.35">
      <c r="A7" s="174">
        <v>2016</v>
      </c>
      <c r="B7" s="197">
        <v>4562</v>
      </c>
      <c r="C7" s="197">
        <v>4097</v>
      </c>
      <c r="D7" s="197">
        <v>437</v>
      </c>
      <c r="E7" s="198">
        <v>28</v>
      </c>
    </row>
    <row r="8" spans="1:5" x14ac:dyDescent="0.35">
      <c r="A8" s="174">
        <v>2017</v>
      </c>
      <c r="B8" s="197">
        <v>4812</v>
      </c>
      <c r="C8" s="197">
        <v>4315</v>
      </c>
      <c r="D8" s="197">
        <v>463</v>
      </c>
      <c r="E8" s="198">
        <v>34</v>
      </c>
    </row>
    <row r="9" spans="1:5" x14ac:dyDescent="0.35">
      <c r="A9" s="174">
        <v>2018</v>
      </c>
      <c r="B9" s="197">
        <v>4071</v>
      </c>
      <c r="C9" s="197">
        <v>3657</v>
      </c>
      <c r="D9" s="197">
        <v>388</v>
      </c>
      <c r="E9" s="198">
        <v>26</v>
      </c>
    </row>
    <row r="10" spans="1:5" x14ac:dyDescent="0.35">
      <c r="A10" s="174">
        <v>2019</v>
      </c>
      <c r="B10" s="197">
        <v>3344</v>
      </c>
      <c r="C10" s="197">
        <v>2988</v>
      </c>
      <c r="D10" s="197">
        <v>329</v>
      </c>
      <c r="E10" s="198">
        <v>27</v>
      </c>
    </row>
    <row r="11" spans="1:5" x14ac:dyDescent="0.35">
      <c r="A11" s="174">
        <v>2020</v>
      </c>
      <c r="B11" s="197">
        <v>3698</v>
      </c>
      <c r="C11" s="197">
        <v>3309</v>
      </c>
      <c r="D11" s="197">
        <v>361</v>
      </c>
      <c r="E11" s="198">
        <v>28</v>
      </c>
    </row>
    <row r="12" spans="1:5" x14ac:dyDescent="0.35">
      <c r="A12" s="174">
        <v>2021</v>
      </c>
      <c r="B12" s="197">
        <v>3321</v>
      </c>
      <c r="C12" s="197">
        <v>2968</v>
      </c>
      <c r="D12" s="197">
        <v>336</v>
      </c>
      <c r="E12" s="198">
        <v>17</v>
      </c>
    </row>
    <row r="13" spans="1:5" x14ac:dyDescent="0.35">
      <c r="A13" s="174">
        <v>2022</v>
      </c>
      <c r="B13" s="197">
        <v>3093</v>
      </c>
      <c r="C13" s="197">
        <v>2779</v>
      </c>
      <c r="D13" s="197">
        <v>295</v>
      </c>
      <c r="E13" s="198">
        <v>19</v>
      </c>
    </row>
    <row r="14" spans="1:5" x14ac:dyDescent="0.35">
      <c r="A14" s="175">
        <v>2023</v>
      </c>
      <c r="B14" s="199">
        <v>2917</v>
      </c>
      <c r="C14" s="199">
        <v>2644</v>
      </c>
      <c r="D14" s="199">
        <v>252</v>
      </c>
      <c r="E14" s="200">
        <v>21</v>
      </c>
    </row>
    <row r="16" spans="1:5" x14ac:dyDescent="0.35">
      <c r="A16" s="172" t="s">
        <v>513</v>
      </c>
    </row>
    <row r="18" spans="1:1" x14ac:dyDescent="0.35">
      <c r="A18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9"/>
  <sheetViews>
    <sheetView workbookViewId="0"/>
  </sheetViews>
  <sheetFormatPr defaultColWidth="10.90625" defaultRowHeight="14.5" x14ac:dyDescent="0.35"/>
  <cols>
    <col min="1" max="1" width="17.7265625" customWidth="1"/>
    <col min="2" max="2" width="9.7265625" customWidth="1"/>
    <col min="3" max="4" width="33.7265625" customWidth="1"/>
  </cols>
  <sheetData>
    <row r="1" spans="1:4" x14ac:dyDescent="0.35">
      <c r="A1" t="s">
        <v>49</v>
      </c>
    </row>
    <row r="3" spans="1:4" x14ac:dyDescent="0.35">
      <c r="A3" s="5" t="s">
        <v>2</v>
      </c>
      <c r="B3" s="4" t="s">
        <v>50</v>
      </c>
      <c r="C3" s="4" t="s">
        <v>51</v>
      </c>
      <c r="D3" s="6" t="s">
        <v>52</v>
      </c>
    </row>
    <row r="4" spans="1:4" x14ac:dyDescent="0.35">
      <c r="A4" s="2" t="s">
        <v>34</v>
      </c>
      <c r="B4" s="30">
        <v>3.6999999999999998E-2</v>
      </c>
      <c r="C4" s="30">
        <v>3.6999999999999998E-2</v>
      </c>
      <c r="D4" s="31">
        <v>3.6999999999999998E-2</v>
      </c>
    </row>
    <row r="5" spans="1:4" x14ac:dyDescent="0.35">
      <c r="A5" s="2" t="s">
        <v>18</v>
      </c>
      <c r="B5" s="30">
        <v>3.4000000000000002E-2</v>
      </c>
      <c r="C5" s="30">
        <v>3.4000000000000002E-2</v>
      </c>
      <c r="D5" s="31">
        <v>3.4000000000000002E-2</v>
      </c>
    </row>
    <row r="6" spans="1:4" x14ac:dyDescent="0.35">
      <c r="A6" s="2" t="s">
        <v>21</v>
      </c>
      <c r="B6" s="30">
        <v>3.4000000000000002E-2</v>
      </c>
      <c r="C6" s="30">
        <v>3.4000000000000002E-2</v>
      </c>
      <c r="D6" s="31">
        <v>3.4000000000000002E-2</v>
      </c>
    </row>
    <row r="7" spans="1:4" x14ac:dyDescent="0.35">
      <c r="A7" s="2" t="s">
        <v>30</v>
      </c>
      <c r="B7" s="30">
        <v>3.2000000000000001E-2</v>
      </c>
      <c r="C7" s="30">
        <v>3.2000000000000001E-2</v>
      </c>
      <c r="D7" s="31">
        <v>3.2000000000000001E-2</v>
      </c>
    </row>
    <row r="8" spans="1:4" x14ac:dyDescent="0.35">
      <c r="A8" s="2" t="s">
        <v>35</v>
      </c>
      <c r="B8" s="30">
        <v>0.03</v>
      </c>
      <c r="C8" s="30">
        <v>0.03</v>
      </c>
      <c r="D8" s="31">
        <v>0.03</v>
      </c>
    </row>
    <row r="9" spans="1:4" x14ac:dyDescent="0.35">
      <c r="A9" s="2" t="s">
        <v>36</v>
      </c>
      <c r="B9" s="30">
        <v>2.9000000000000001E-2</v>
      </c>
      <c r="C9" s="30">
        <v>2.9000000000000001E-2</v>
      </c>
      <c r="D9" s="31">
        <v>2.9000000000000001E-2</v>
      </c>
    </row>
    <row r="10" spans="1:4" x14ac:dyDescent="0.35">
      <c r="A10" s="2" t="s">
        <v>16</v>
      </c>
      <c r="B10" s="30">
        <v>2.8000000000000001E-2</v>
      </c>
      <c r="C10" s="30">
        <v>2.8000000000000001E-2</v>
      </c>
      <c r="D10" s="31">
        <v>2.8000000000000001E-2</v>
      </c>
    </row>
    <row r="11" spans="1:4" x14ac:dyDescent="0.35">
      <c r="A11" s="2" t="s">
        <v>37</v>
      </c>
      <c r="B11" s="30">
        <v>2.8000000000000001E-2</v>
      </c>
      <c r="C11" s="30">
        <v>2.8000000000000001E-2</v>
      </c>
      <c r="D11" s="31">
        <v>2.8000000000000001E-2</v>
      </c>
    </row>
    <row r="12" spans="1:4" x14ac:dyDescent="0.35">
      <c r="A12" s="2" t="s">
        <v>15</v>
      </c>
      <c r="B12" s="30">
        <v>2.7E-2</v>
      </c>
      <c r="C12" s="30">
        <v>2.7E-2</v>
      </c>
      <c r="D12" s="31">
        <v>2.7E-2</v>
      </c>
    </row>
    <row r="13" spans="1:4" x14ac:dyDescent="0.35">
      <c r="A13" s="2" t="s">
        <v>25</v>
      </c>
      <c r="B13" s="30">
        <v>2.5999999999999999E-2</v>
      </c>
      <c r="C13" s="30">
        <v>2.5999999999999999E-2</v>
      </c>
      <c r="D13" s="31">
        <v>2.5999999999999999E-2</v>
      </c>
    </row>
    <row r="14" spans="1:4" x14ac:dyDescent="0.35">
      <c r="A14" s="2" t="s">
        <v>27</v>
      </c>
      <c r="B14" s="30">
        <v>2.5000000000000001E-2</v>
      </c>
      <c r="C14" s="30">
        <v>2.5000000000000001E-2</v>
      </c>
      <c r="D14" s="31">
        <v>2.5000000000000001E-2</v>
      </c>
    </row>
    <row r="15" spans="1:4" x14ac:dyDescent="0.35">
      <c r="A15" s="2" t="s">
        <v>22</v>
      </c>
      <c r="B15" s="30">
        <v>2.5000000000000001E-2</v>
      </c>
      <c r="C15" s="30">
        <v>2.5000000000000001E-2</v>
      </c>
      <c r="D15" s="31">
        <v>2.5000000000000001E-2</v>
      </c>
    </row>
    <row r="16" spans="1:4" x14ac:dyDescent="0.35">
      <c r="A16" s="2" t="s">
        <v>10</v>
      </c>
      <c r="B16" s="30">
        <v>2.4E-2</v>
      </c>
      <c r="C16" s="30">
        <v>2.4E-2</v>
      </c>
      <c r="D16" s="31">
        <v>2.4E-2</v>
      </c>
    </row>
    <row r="17" spans="1:4" x14ac:dyDescent="0.35">
      <c r="A17" s="2" t="s">
        <v>14</v>
      </c>
      <c r="B17" s="30">
        <v>2.4E-2</v>
      </c>
      <c r="C17" s="30">
        <v>2.4E-2</v>
      </c>
      <c r="D17" s="31">
        <v>2.4E-2</v>
      </c>
    </row>
    <row r="18" spans="1:4" x14ac:dyDescent="0.35">
      <c r="A18" s="2" t="s">
        <v>13</v>
      </c>
      <c r="B18" s="30">
        <v>2.4E-2</v>
      </c>
      <c r="C18" s="30">
        <v>2.4E-2</v>
      </c>
      <c r="D18" s="31">
        <v>2.4E-2</v>
      </c>
    </row>
    <row r="19" spans="1:4" x14ac:dyDescent="0.35">
      <c r="A19" s="2" t="s">
        <v>20</v>
      </c>
      <c r="B19" s="30">
        <v>2.4E-2</v>
      </c>
      <c r="C19" s="30">
        <v>2.4E-2</v>
      </c>
      <c r="D19" s="31">
        <v>2.4E-2</v>
      </c>
    </row>
    <row r="20" spans="1:4" x14ac:dyDescent="0.35">
      <c r="A20" s="2" t="s">
        <v>12</v>
      </c>
      <c r="B20" s="30">
        <v>2.4E-2</v>
      </c>
      <c r="C20" s="30">
        <v>2.4E-2</v>
      </c>
      <c r="D20" s="31">
        <v>2.4E-2</v>
      </c>
    </row>
    <row r="21" spans="1:4" x14ac:dyDescent="0.35">
      <c r="A21" s="2" t="s">
        <v>28</v>
      </c>
      <c r="B21" s="30">
        <v>2.4E-2</v>
      </c>
      <c r="C21" s="30">
        <v>2.4E-2</v>
      </c>
      <c r="D21" s="31">
        <v>2.4E-2</v>
      </c>
    </row>
    <row r="22" spans="1:4" x14ac:dyDescent="0.35">
      <c r="A22" s="2" t="s">
        <v>7</v>
      </c>
      <c r="B22" s="30">
        <v>2.4E-2</v>
      </c>
      <c r="C22" s="30">
        <v>2.4E-2</v>
      </c>
      <c r="D22" s="31">
        <v>2.4E-2</v>
      </c>
    </row>
    <row r="23" spans="1:4" x14ac:dyDescent="0.35">
      <c r="A23" s="2" t="s">
        <v>24</v>
      </c>
      <c r="B23" s="30">
        <v>2.3E-2</v>
      </c>
      <c r="C23" s="30">
        <v>2.3E-2</v>
      </c>
      <c r="D23" s="31">
        <v>2.3E-2</v>
      </c>
    </row>
    <row r="24" spans="1:4" x14ac:dyDescent="0.35">
      <c r="A24" s="2" t="s">
        <v>33</v>
      </c>
      <c r="B24" s="30">
        <v>2.3E-2</v>
      </c>
      <c r="C24" s="30">
        <v>2.3E-2</v>
      </c>
      <c r="D24" s="31">
        <v>2.3E-2</v>
      </c>
    </row>
    <row r="25" spans="1:4" x14ac:dyDescent="0.35">
      <c r="A25" s="2" t="s">
        <v>26</v>
      </c>
      <c r="B25" s="30">
        <v>2.1999999999999999E-2</v>
      </c>
      <c r="C25" s="30">
        <v>2.1999999999999999E-2</v>
      </c>
      <c r="D25" s="31">
        <v>2.1999999999999999E-2</v>
      </c>
    </row>
    <row r="26" spans="1:4" x14ac:dyDescent="0.35">
      <c r="A26" s="2" t="s">
        <v>6</v>
      </c>
      <c r="B26" s="30">
        <v>2.1999999999999999E-2</v>
      </c>
      <c r="C26" s="30">
        <v>2.1999999999999999E-2</v>
      </c>
      <c r="D26" s="31">
        <v>2.1999999999999999E-2</v>
      </c>
    </row>
    <row r="27" spans="1:4" x14ac:dyDescent="0.35">
      <c r="A27" s="2" t="s">
        <v>17</v>
      </c>
      <c r="B27" s="30">
        <v>2.1999999999999999E-2</v>
      </c>
      <c r="C27" s="30">
        <v>2.1999999999999999E-2</v>
      </c>
      <c r="D27" s="31">
        <v>2.1999999999999999E-2</v>
      </c>
    </row>
    <row r="28" spans="1:4" x14ac:dyDescent="0.35">
      <c r="A28" s="2" t="s">
        <v>23</v>
      </c>
      <c r="B28" s="30">
        <v>2.1000000000000001E-2</v>
      </c>
      <c r="C28" s="30">
        <v>2.1000000000000001E-2</v>
      </c>
      <c r="D28" s="31">
        <v>2.1000000000000001E-2</v>
      </c>
    </row>
    <row r="29" spans="1:4" x14ac:dyDescent="0.35">
      <c r="A29" s="2" t="s">
        <v>9</v>
      </c>
      <c r="B29" s="30">
        <v>1.9E-2</v>
      </c>
      <c r="C29" s="30">
        <v>1.9E-2</v>
      </c>
      <c r="D29" s="31">
        <v>1.9E-2</v>
      </c>
    </row>
    <row r="30" spans="1:4" x14ac:dyDescent="0.35">
      <c r="A30" s="2" t="s">
        <v>11</v>
      </c>
      <c r="B30" s="30">
        <v>1.7999999999999999E-2</v>
      </c>
      <c r="C30" s="30">
        <v>1.7999999999999999E-2</v>
      </c>
      <c r="D30" s="31">
        <v>1.7999999999999999E-2</v>
      </c>
    </row>
    <row r="31" spans="1:4" x14ac:dyDescent="0.35">
      <c r="A31" s="2" t="s">
        <v>32</v>
      </c>
      <c r="B31" s="30">
        <v>1.7000000000000001E-2</v>
      </c>
      <c r="C31" s="30">
        <v>1.7000000000000001E-2</v>
      </c>
      <c r="D31" s="31">
        <v>1.7000000000000001E-2</v>
      </c>
    </row>
    <row r="32" spans="1:4" x14ac:dyDescent="0.35">
      <c r="A32" s="2" t="s">
        <v>19</v>
      </c>
      <c r="B32" s="30">
        <v>1.6E-2</v>
      </c>
      <c r="C32" s="30">
        <v>1.6E-2</v>
      </c>
      <c r="D32" s="31">
        <v>1.6E-2</v>
      </c>
    </row>
    <row r="33" spans="1:4" x14ac:dyDescent="0.35">
      <c r="A33" s="2" t="s">
        <v>31</v>
      </c>
      <c r="B33" s="30">
        <v>1.4E-2</v>
      </c>
      <c r="C33" s="30">
        <v>1.4E-2</v>
      </c>
      <c r="D33" s="31">
        <v>1.4E-2</v>
      </c>
    </row>
    <row r="34" spans="1:4" x14ac:dyDescent="0.35">
      <c r="A34" s="2" t="s">
        <v>29</v>
      </c>
      <c r="B34" s="30">
        <v>1.2999999999999999E-2</v>
      </c>
      <c r="C34" s="30">
        <v>1.2999999999999999E-2</v>
      </c>
      <c r="D34" s="31">
        <v>1.2999999999999999E-2</v>
      </c>
    </row>
    <row r="35" spans="1:4" x14ac:dyDescent="0.35">
      <c r="A35" s="8" t="s">
        <v>8</v>
      </c>
      <c r="B35" s="32">
        <v>1.2E-2</v>
      </c>
      <c r="C35" s="32">
        <v>1.2E-2</v>
      </c>
      <c r="D35" s="33">
        <v>1.2E-2</v>
      </c>
    </row>
    <row r="37" spans="1:4" x14ac:dyDescent="0.35">
      <c r="A37" t="s">
        <v>38</v>
      </c>
    </row>
    <row r="39" spans="1:4" x14ac:dyDescent="0.35">
      <c r="A39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C29"/>
  <sheetViews>
    <sheetView workbookViewId="0"/>
  </sheetViews>
  <sheetFormatPr defaultColWidth="10.90625" defaultRowHeight="14.5" x14ac:dyDescent="0.35"/>
  <cols>
    <col min="1" max="1" width="6.7265625" style="172" customWidth="1"/>
    <col min="2" max="2" width="11.7265625" customWidth="1"/>
    <col min="3" max="3" width="17.7265625" customWidth="1"/>
  </cols>
  <sheetData>
    <row r="1" spans="1:3" x14ac:dyDescent="0.35">
      <c r="A1" s="172" t="s">
        <v>526</v>
      </c>
    </row>
    <row r="3" spans="1:3" x14ac:dyDescent="0.35">
      <c r="A3" s="173" t="s">
        <v>1</v>
      </c>
      <c r="B3" s="4" t="s">
        <v>41</v>
      </c>
      <c r="C3" s="6" t="s">
        <v>527</v>
      </c>
    </row>
    <row r="4" spans="1:3" x14ac:dyDescent="0.35">
      <c r="A4" s="174">
        <v>2013</v>
      </c>
      <c r="B4" t="s">
        <v>46</v>
      </c>
      <c r="C4" s="166">
        <v>2495</v>
      </c>
    </row>
    <row r="5" spans="1:3" x14ac:dyDescent="0.35">
      <c r="A5" s="174">
        <v>2013</v>
      </c>
      <c r="B5" t="s">
        <v>45</v>
      </c>
      <c r="C5" s="166">
        <v>5075</v>
      </c>
    </row>
    <row r="6" spans="1:3" x14ac:dyDescent="0.35">
      <c r="A6" s="174">
        <v>2014</v>
      </c>
      <c r="B6" t="s">
        <v>46</v>
      </c>
      <c r="C6" s="166">
        <v>2304</v>
      </c>
    </row>
    <row r="7" spans="1:3" x14ac:dyDescent="0.35">
      <c r="A7" s="174">
        <v>2014</v>
      </c>
      <c r="B7" t="s">
        <v>45</v>
      </c>
      <c r="C7" s="166">
        <v>4420</v>
      </c>
    </row>
    <row r="8" spans="1:3" x14ac:dyDescent="0.35">
      <c r="A8" s="174">
        <v>2015</v>
      </c>
      <c r="B8" t="s">
        <v>46</v>
      </c>
      <c r="C8" s="166">
        <v>1943</v>
      </c>
    </row>
    <row r="9" spans="1:3" x14ac:dyDescent="0.35">
      <c r="A9" s="174">
        <v>2015</v>
      </c>
      <c r="B9" t="s">
        <v>45</v>
      </c>
      <c r="C9" s="166">
        <v>3967</v>
      </c>
    </row>
    <row r="10" spans="1:3" x14ac:dyDescent="0.35">
      <c r="A10" s="174">
        <v>2016</v>
      </c>
      <c r="B10" t="s">
        <v>46</v>
      </c>
      <c r="C10" s="166">
        <v>1568</v>
      </c>
    </row>
    <row r="11" spans="1:3" x14ac:dyDescent="0.35">
      <c r="A11" s="174">
        <v>2016</v>
      </c>
      <c r="B11" t="s">
        <v>45</v>
      </c>
      <c r="C11" s="166">
        <v>2994</v>
      </c>
    </row>
    <row r="12" spans="1:3" x14ac:dyDescent="0.35">
      <c r="A12" s="174">
        <v>2017</v>
      </c>
      <c r="B12" t="s">
        <v>46</v>
      </c>
      <c r="C12" s="166">
        <v>1684</v>
      </c>
    </row>
    <row r="13" spans="1:3" x14ac:dyDescent="0.35">
      <c r="A13" s="174">
        <v>2017</v>
      </c>
      <c r="B13" t="s">
        <v>45</v>
      </c>
      <c r="C13" s="166">
        <v>3128</v>
      </c>
    </row>
    <row r="14" spans="1:3" x14ac:dyDescent="0.35">
      <c r="A14" s="174">
        <v>2018</v>
      </c>
      <c r="B14" t="s">
        <v>46</v>
      </c>
      <c r="C14" s="166">
        <v>1441</v>
      </c>
    </row>
    <row r="15" spans="1:3" x14ac:dyDescent="0.35">
      <c r="A15" s="174">
        <v>2018</v>
      </c>
      <c r="B15" t="s">
        <v>45</v>
      </c>
      <c r="C15" s="166">
        <v>2630</v>
      </c>
    </row>
    <row r="16" spans="1:3" x14ac:dyDescent="0.35">
      <c r="A16" s="174">
        <v>2019</v>
      </c>
      <c r="B16" t="s">
        <v>46</v>
      </c>
      <c r="C16" s="166">
        <v>1284</v>
      </c>
    </row>
    <row r="17" spans="1:3" x14ac:dyDescent="0.35">
      <c r="A17" s="174">
        <v>2019</v>
      </c>
      <c r="B17" t="s">
        <v>45</v>
      </c>
      <c r="C17" s="166">
        <v>2060</v>
      </c>
    </row>
    <row r="18" spans="1:3" x14ac:dyDescent="0.35">
      <c r="A18" s="174">
        <v>2020</v>
      </c>
      <c r="B18" t="s">
        <v>46</v>
      </c>
      <c r="C18" s="166">
        <v>1417</v>
      </c>
    </row>
    <row r="19" spans="1:3" x14ac:dyDescent="0.35">
      <c r="A19" s="174">
        <v>2020</v>
      </c>
      <c r="B19" t="s">
        <v>45</v>
      </c>
      <c r="C19" s="166">
        <v>2281</v>
      </c>
    </row>
    <row r="20" spans="1:3" x14ac:dyDescent="0.35">
      <c r="A20" s="174">
        <v>2021</v>
      </c>
      <c r="B20" t="s">
        <v>46</v>
      </c>
      <c r="C20" s="166">
        <v>1302</v>
      </c>
    </row>
    <row r="21" spans="1:3" x14ac:dyDescent="0.35">
      <c r="A21" s="174">
        <v>2021</v>
      </c>
      <c r="B21" t="s">
        <v>45</v>
      </c>
      <c r="C21" s="166">
        <v>2019</v>
      </c>
    </row>
    <row r="22" spans="1:3" x14ac:dyDescent="0.35">
      <c r="A22" s="174">
        <v>2022</v>
      </c>
      <c r="B22" t="s">
        <v>46</v>
      </c>
      <c r="C22" s="166">
        <v>1149</v>
      </c>
    </row>
    <row r="23" spans="1:3" x14ac:dyDescent="0.35">
      <c r="A23" s="174">
        <v>2022</v>
      </c>
      <c r="B23" t="s">
        <v>45</v>
      </c>
      <c r="C23" s="166">
        <v>1944</v>
      </c>
    </row>
    <row r="24" spans="1:3" x14ac:dyDescent="0.35">
      <c r="A24" s="174">
        <v>2023</v>
      </c>
      <c r="B24" t="s">
        <v>46</v>
      </c>
      <c r="C24" s="166">
        <v>1098</v>
      </c>
    </row>
    <row r="25" spans="1:3" x14ac:dyDescent="0.35">
      <c r="A25" s="175">
        <v>2023</v>
      </c>
      <c r="B25" s="10" t="s">
        <v>45</v>
      </c>
      <c r="C25" s="167">
        <v>1819</v>
      </c>
    </row>
    <row r="27" spans="1:3" x14ac:dyDescent="0.35">
      <c r="A27" s="172" t="s">
        <v>513</v>
      </c>
    </row>
    <row r="29" spans="1:3" x14ac:dyDescent="0.35">
      <c r="A29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C40"/>
  <sheetViews>
    <sheetView workbookViewId="0"/>
  </sheetViews>
  <sheetFormatPr defaultColWidth="10.90625" defaultRowHeight="14.5" x14ac:dyDescent="0.35"/>
  <cols>
    <col min="1" max="1" width="6.7265625" style="172" customWidth="1"/>
    <col min="2" max="2" width="41.7265625" customWidth="1"/>
    <col min="3" max="3" width="17.7265625" customWidth="1"/>
  </cols>
  <sheetData>
    <row r="1" spans="1:3" x14ac:dyDescent="0.35">
      <c r="A1" s="172" t="s">
        <v>528</v>
      </c>
    </row>
    <row r="3" spans="1:3" x14ac:dyDescent="0.35">
      <c r="A3" s="173" t="s">
        <v>1</v>
      </c>
      <c r="B3" s="4" t="s">
        <v>519</v>
      </c>
      <c r="C3" s="6" t="s">
        <v>527</v>
      </c>
    </row>
    <row r="4" spans="1:3" x14ac:dyDescent="0.35">
      <c r="A4" s="174">
        <v>2013</v>
      </c>
      <c r="B4" t="s">
        <v>520</v>
      </c>
      <c r="C4" s="168">
        <v>4621</v>
      </c>
    </row>
    <row r="5" spans="1:3" x14ac:dyDescent="0.35">
      <c r="A5" s="174">
        <v>2013</v>
      </c>
      <c r="B5" t="s">
        <v>521</v>
      </c>
      <c r="C5" s="168">
        <v>429</v>
      </c>
    </row>
    <row r="6" spans="1:3" x14ac:dyDescent="0.35">
      <c r="A6" s="174">
        <v>2013</v>
      </c>
      <c r="B6" t="s">
        <v>522</v>
      </c>
      <c r="C6" s="168">
        <v>25</v>
      </c>
    </row>
    <row r="7" spans="1:3" x14ac:dyDescent="0.35">
      <c r="A7" s="174">
        <v>2014</v>
      </c>
      <c r="B7" t="s">
        <v>520</v>
      </c>
      <c r="C7" s="168">
        <v>4023</v>
      </c>
    </row>
    <row r="8" spans="1:3" x14ac:dyDescent="0.35">
      <c r="A8" s="174">
        <v>2014</v>
      </c>
      <c r="B8" t="s">
        <v>521</v>
      </c>
      <c r="C8" s="168">
        <v>376</v>
      </c>
    </row>
    <row r="9" spans="1:3" x14ac:dyDescent="0.35">
      <c r="A9" s="174">
        <v>2014</v>
      </c>
      <c r="B9" t="s">
        <v>522</v>
      </c>
      <c r="C9" s="168">
        <v>21</v>
      </c>
    </row>
    <row r="10" spans="1:3" x14ac:dyDescent="0.35">
      <c r="A10" s="174">
        <v>2015</v>
      </c>
      <c r="B10" t="s">
        <v>520</v>
      </c>
      <c r="C10" s="168">
        <v>3614</v>
      </c>
    </row>
    <row r="11" spans="1:3" x14ac:dyDescent="0.35">
      <c r="A11" s="174">
        <v>2015</v>
      </c>
      <c r="B11" t="s">
        <v>521</v>
      </c>
      <c r="C11" s="168">
        <v>331</v>
      </c>
    </row>
    <row r="12" spans="1:3" x14ac:dyDescent="0.35">
      <c r="A12" s="174">
        <v>2015</v>
      </c>
      <c r="B12" t="s">
        <v>522</v>
      </c>
      <c r="C12" s="168">
        <v>22</v>
      </c>
    </row>
    <row r="13" spans="1:3" x14ac:dyDescent="0.35">
      <c r="A13" s="174">
        <v>2016</v>
      </c>
      <c r="B13" t="s">
        <v>520</v>
      </c>
      <c r="C13" s="168">
        <v>2734</v>
      </c>
    </row>
    <row r="14" spans="1:3" x14ac:dyDescent="0.35">
      <c r="A14" s="174">
        <v>2016</v>
      </c>
      <c r="B14" t="s">
        <v>521</v>
      </c>
      <c r="C14" s="168">
        <v>244</v>
      </c>
    </row>
    <row r="15" spans="1:3" x14ac:dyDescent="0.35">
      <c r="A15" s="174">
        <v>2016</v>
      </c>
      <c r="B15" t="s">
        <v>522</v>
      </c>
      <c r="C15" s="168">
        <v>16</v>
      </c>
    </row>
    <row r="16" spans="1:3" x14ac:dyDescent="0.35">
      <c r="A16" s="174">
        <v>2017</v>
      </c>
      <c r="B16" t="s">
        <v>520</v>
      </c>
      <c r="C16" s="168">
        <v>2854</v>
      </c>
    </row>
    <row r="17" spans="1:3" x14ac:dyDescent="0.35">
      <c r="A17" s="174">
        <v>2017</v>
      </c>
      <c r="B17" t="s">
        <v>521</v>
      </c>
      <c r="C17" s="168">
        <v>259</v>
      </c>
    </row>
    <row r="18" spans="1:3" x14ac:dyDescent="0.35">
      <c r="A18" s="174">
        <v>2017</v>
      </c>
      <c r="B18" t="s">
        <v>522</v>
      </c>
      <c r="C18" s="168">
        <v>15</v>
      </c>
    </row>
    <row r="19" spans="1:3" x14ac:dyDescent="0.35">
      <c r="A19" s="174">
        <v>2018</v>
      </c>
      <c r="B19" t="s">
        <v>520</v>
      </c>
      <c r="C19" s="168">
        <v>2401</v>
      </c>
    </row>
    <row r="20" spans="1:3" x14ac:dyDescent="0.35">
      <c r="A20" s="174">
        <v>2018</v>
      </c>
      <c r="B20" t="s">
        <v>521</v>
      </c>
      <c r="C20" s="168">
        <v>215</v>
      </c>
    </row>
    <row r="21" spans="1:3" x14ac:dyDescent="0.35">
      <c r="A21" s="174">
        <v>2018</v>
      </c>
      <c r="B21" t="s">
        <v>522</v>
      </c>
      <c r="C21" s="168">
        <v>14</v>
      </c>
    </row>
    <row r="22" spans="1:3" x14ac:dyDescent="0.35">
      <c r="A22" s="174">
        <v>2019</v>
      </c>
      <c r="B22" t="s">
        <v>520</v>
      </c>
      <c r="C22" s="168">
        <v>1874</v>
      </c>
    </row>
    <row r="23" spans="1:3" x14ac:dyDescent="0.35">
      <c r="A23" s="174">
        <v>2019</v>
      </c>
      <c r="B23" t="s">
        <v>521</v>
      </c>
      <c r="C23" s="168">
        <v>175</v>
      </c>
    </row>
    <row r="24" spans="1:3" x14ac:dyDescent="0.35">
      <c r="A24" s="174">
        <v>2019</v>
      </c>
      <c r="B24" t="s">
        <v>522</v>
      </c>
      <c r="C24" s="168">
        <v>11</v>
      </c>
    </row>
    <row r="25" spans="1:3" x14ac:dyDescent="0.35">
      <c r="A25" s="174">
        <v>2020</v>
      </c>
      <c r="B25" t="s">
        <v>520</v>
      </c>
      <c r="C25" s="168">
        <v>2071</v>
      </c>
    </row>
    <row r="26" spans="1:3" x14ac:dyDescent="0.35">
      <c r="A26" s="174">
        <v>2020</v>
      </c>
      <c r="B26" t="s">
        <v>521</v>
      </c>
      <c r="C26" s="168">
        <v>195</v>
      </c>
    </row>
    <row r="27" spans="1:3" x14ac:dyDescent="0.35">
      <c r="A27" s="174">
        <v>2020</v>
      </c>
      <c r="B27" t="s">
        <v>522</v>
      </c>
      <c r="C27" s="168">
        <v>15</v>
      </c>
    </row>
    <row r="28" spans="1:3" x14ac:dyDescent="0.35">
      <c r="A28" s="174">
        <v>2021</v>
      </c>
      <c r="B28" t="s">
        <v>520</v>
      </c>
      <c r="C28" s="168">
        <v>1835</v>
      </c>
    </row>
    <row r="29" spans="1:3" x14ac:dyDescent="0.35">
      <c r="A29" s="174">
        <v>2021</v>
      </c>
      <c r="B29" t="s">
        <v>521</v>
      </c>
      <c r="C29" s="168">
        <v>176</v>
      </c>
    </row>
    <row r="30" spans="1:3" x14ac:dyDescent="0.35">
      <c r="A30" s="174">
        <v>2021</v>
      </c>
      <c r="B30" t="s">
        <v>522</v>
      </c>
      <c r="C30" s="168">
        <v>8</v>
      </c>
    </row>
    <row r="31" spans="1:3" x14ac:dyDescent="0.35">
      <c r="A31" s="174">
        <v>2022</v>
      </c>
      <c r="B31" t="s">
        <v>520</v>
      </c>
      <c r="C31" s="168">
        <v>1765</v>
      </c>
    </row>
    <row r="32" spans="1:3" x14ac:dyDescent="0.35">
      <c r="A32" s="174">
        <v>2022</v>
      </c>
      <c r="B32" t="s">
        <v>521</v>
      </c>
      <c r="C32" s="168">
        <v>169</v>
      </c>
    </row>
    <row r="33" spans="1:3" x14ac:dyDescent="0.35">
      <c r="A33" s="174">
        <v>2022</v>
      </c>
      <c r="B33" t="s">
        <v>522</v>
      </c>
      <c r="C33" s="168">
        <v>10</v>
      </c>
    </row>
    <row r="34" spans="1:3" x14ac:dyDescent="0.35">
      <c r="A34" s="174">
        <v>2023</v>
      </c>
      <c r="B34" t="s">
        <v>520</v>
      </c>
      <c r="C34" s="168">
        <v>1669</v>
      </c>
    </row>
    <row r="35" spans="1:3" x14ac:dyDescent="0.35">
      <c r="A35" s="174">
        <v>2023</v>
      </c>
      <c r="B35" t="s">
        <v>521</v>
      </c>
      <c r="C35" s="168">
        <v>140</v>
      </c>
    </row>
    <row r="36" spans="1:3" x14ac:dyDescent="0.35">
      <c r="A36" s="175">
        <v>2023</v>
      </c>
      <c r="B36" s="10" t="s">
        <v>522</v>
      </c>
      <c r="C36" s="169">
        <v>10</v>
      </c>
    </row>
    <row r="38" spans="1:3" x14ac:dyDescent="0.35">
      <c r="A38" s="172" t="s">
        <v>513</v>
      </c>
    </row>
    <row r="40" spans="1:3" x14ac:dyDescent="0.35">
      <c r="A40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C40"/>
  <sheetViews>
    <sheetView workbookViewId="0"/>
  </sheetViews>
  <sheetFormatPr defaultColWidth="10.90625" defaultRowHeight="14.5" x14ac:dyDescent="0.35"/>
  <cols>
    <col min="1" max="1" width="6.7265625" style="172" customWidth="1"/>
    <col min="2" max="2" width="41.7265625" customWidth="1"/>
    <col min="3" max="3" width="17.7265625" customWidth="1"/>
  </cols>
  <sheetData>
    <row r="1" spans="1:3" x14ac:dyDescent="0.35">
      <c r="A1" s="172" t="s">
        <v>529</v>
      </c>
    </row>
    <row r="3" spans="1:3" x14ac:dyDescent="0.35">
      <c r="A3" s="173" t="s">
        <v>1</v>
      </c>
      <c r="B3" s="4" t="s">
        <v>519</v>
      </c>
      <c r="C3" s="6" t="s">
        <v>527</v>
      </c>
    </row>
    <row r="4" spans="1:3" x14ac:dyDescent="0.35">
      <c r="A4" s="174">
        <v>2013</v>
      </c>
      <c r="B4" t="s">
        <v>520</v>
      </c>
      <c r="C4" s="170">
        <v>2170</v>
      </c>
    </row>
    <row r="5" spans="1:3" x14ac:dyDescent="0.35">
      <c r="A5" s="174">
        <v>2013</v>
      </c>
      <c r="B5" t="s">
        <v>521</v>
      </c>
      <c r="C5" s="170">
        <v>310</v>
      </c>
    </row>
    <row r="6" spans="1:3" x14ac:dyDescent="0.35">
      <c r="A6" s="174">
        <v>2013</v>
      </c>
      <c r="B6" t="s">
        <v>522</v>
      </c>
      <c r="C6" s="170">
        <v>15</v>
      </c>
    </row>
    <row r="7" spans="1:3" x14ac:dyDescent="0.35">
      <c r="A7" s="174">
        <v>2014</v>
      </c>
      <c r="B7" t="s">
        <v>520</v>
      </c>
      <c r="C7" s="170">
        <v>2032</v>
      </c>
    </row>
    <row r="8" spans="1:3" x14ac:dyDescent="0.35">
      <c r="A8" s="174">
        <v>2014</v>
      </c>
      <c r="B8" t="s">
        <v>521</v>
      </c>
      <c r="C8" s="170">
        <v>265</v>
      </c>
    </row>
    <row r="9" spans="1:3" x14ac:dyDescent="0.35">
      <c r="A9" s="174">
        <v>2014</v>
      </c>
      <c r="B9" t="s">
        <v>522</v>
      </c>
      <c r="C9" s="170">
        <v>7</v>
      </c>
    </row>
    <row r="10" spans="1:3" x14ac:dyDescent="0.35">
      <c r="A10" s="174">
        <v>2015</v>
      </c>
      <c r="B10" t="s">
        <v>520</v>
      </c>
      <c r="C10" s="170">
        <v>1687</v>
      </c>
    </row>
    <row r="11" spans="1:3" x14ac:dyDescent="0.35">
      <c r="A11" s="174">
        <v>2015</v>
      </c>
      <c r="B11" t="s">
        <v>521</v>
      </c>
      <c r="C11" s="170">
        <v>245</v>
      </c>
    </row>
    <row r="12" spans="1:3" x14ac:dyDescent="0.35">
      <c r="A12" s="174">
        <v>2015</v>
      </c>
      <c r="B12" t="s">
        <v>522</v>
      </c>
      <c r="C12" s="170">
        <v>11</v>
      </c>
    </row>
    <row r="13" spans="1:3" x14ac:dyDescent="0.35">
      <c r="A13" s="174">
        <v>2016</v>
      </c>
      <c r="B13" t="s">
        <v>520</v>
      </c>
      <c r="C13" s="170">
        <v>1363</v>
      </c>
    </row>
    <row r="14" spans="1:3" x14ac:dyDescent="0.35">
      <c r="A14" s="174">
        <v>2016</v>
      </c>
      <c r="B14" t="s">
        <v>521</v>
      </c>
      <c r="C14" s="170">
        <v>193</v>
      </c>
    </row>
    <row r="15" spans="1:3" x14ac:dyDescent="0.35">
      <c r="A15" s="174">
        <v>2016</v>
      </c>
      <c r="B15" t="s">
        <v>522</v>
      </c>
      <c r="C15" s="170">
        <v>12</v>
      </c>
    </row>
    <row r="16" spans="1:3" x14ac:dyDescent="0.35">
      <c r="A16" s="174">
        <v>2017</v>
      </c>
      <c r="B16" t="s">
        <v>520</v>
      </c>
      <c r="C16" s="170">
        <v>1461</v>
      </c>
    </row>
    <row r="17" spans="1:3" x14ac:dyDescent="0.35">
      <c r="A17" s="174">
        <v>2017</v>
      </c>
      <c r="B17" t="s">
        <v>521</v>
      </c>
      <c r="C17" s="170">
        <v>204</v>
      </c>
    </row>
    <row r="18" spans="1:3" x14ac:dyDescent="0.35">
      <c r="A18" s="174">
        <v>2017</v>
      </c>
      <c r="B18" t="s">
        <v>522</v>
      </c>
      <c r="C18" s="170">
        <v>19</v>
      </c>
    </row>
    <row r="19" spans="1:3" x14ac:dyDescent="0.35">
      <c r="A19" s="174">
        <v>2018</v>
      </c>
      <c r="B19" t="s">
        <v>520</v>
      </c>
      <c r="C19" s="170">
        <v>1256</v>
      </c>
    </row>
    <row r="20" spans="1:3" x14ac:dyDescent="0.35">
      <c r="A20" s="174">
        <v>2018</v>
      </c>
      <c r="B20" t="s">
        <v>521</v>
      </c>
      <c r="C20" s="170">
        <v>173</v>
      </c>
    </row>
    <row r="21" spans="1:3" x14ac:dyDescent="0.35">
      <c r="A21" s="174">
        <v>2018</v>
      </c>
      <c r="B21" t="s">
        <v>522</v>
      </c>
      <c r="C21" s="170">
        <v>12</v>
      </c>
    </row>
    <row r="22" spans="1:3" x14ac:dyDescent="0.35">
      <c r="A22" s="174">
        <v>2019</v>
      </c>
      <c r="B22" t="s">
        <v>520</v>
      </c>
      <c r="C22" s="170">
        <v>1114</v>
      </c>
    </row>
    <row r="23" spans="1:3" x14ac:dyDescent="0.35">
      <c r="A23" s="174">
        <v>2019</v>
      </c>
      <c r="B23" t="s">
        <v>521</v>
      </c>
      <c r="C23" s="170">
        <v>154</v>
      </c>
    </row>
    <row r="24" spans="1:3" x14ac:dyDescent="0.35">
      <c r="A24" s="174">
        <v>2019</v>
      </c>
      <c r="B24" t="s">
        <v>522</v>
      </c>
      <c r="C24" s="170">
        <v>16</v>
      </c>
    </row>
    <row r="25" spans="1:3" x14ac:dyDescent="0.35">
      <c r="A25" s="174">
        <v>2020</v>
      </c>
      <c r="B25" t="s">
        <v>520</v>
      </c>
      <c r="C25" s="170">
        <v>1238</v>
      </c>
    </row>
    <row r="26" spans="1:3" x14ac:dyDescent="0.35">
      <c r="A26" s="174">
        <v>2020</v>
      </c>
      <c r="B26" t="s">
        <v>521</v>
      </c>
      <c r="C26" s="170">
        <v>166</v>
      </c>
    </row>
    <row r="27" spans="1:3" x14ac:dyDescent="0.35">
      <c r="A27" s="174">
        <v>2020</v>
      </c>
      <c r="B27" t="s">
        <v>522</v>
      </c>
      <c r="C27" s="170">
        <v>13</v>
      </c>
    </row>
    <row r="28" spans="1:3" x14ac:dyDescent="0.35">
      <c r="A28" s="174">
        <v>2021</v>
      </c>
      <c r="B28" t="s">
        <v>520</v>
      </c>
      <c r="C28" s="170">
        <v>1133</v>
      </c>
    </row>
    <row r="29" spans="1:3" x14ac:dyDescent="0.35">
      <c r="A29" s="174">
        <v>2021</v>
      </c>
      <c r="B29" t="s">
        <v>521</v>
      </c>
      <c r="C29" s="170">
        <v>160</v>
      </c>
    </row>
    <row r="30" spans="1:3" x14ac:dyDescent="0.35">
      <c r="A30" s="174">
        <v>2021</v>
      </c>
      <c r="B30" t="s">
        <v>522</v>
      </c>
      <c r="C30" s="170">
        <v>9</v>
      </c>
    </row>
    <row r="31" spans="1:3" x14ac:dyDescent="0.35">
      <c r="A31" s="174">
        <v>2022</v>
      </c>
      <c r="B31" t="s">
        <v>520</v>
      </c>
      <c r="C31" s="170">
        <v>1014</v>
      </c>
    </row>
    <row r="32" spans="1:3" x14ac:dyDescent="0.35">
      <c r="A32" s="174">
        <v>2022</v>
      </c>
      <c r="B32" t="s">
        <v>521</v>
      </c>
      <c r="C32" s="170">
        <v>126</v>
      </c>
    </row>
    <row r="33" spans="1:3" x14ac:dyDescent="0.35">
      <c r="A33" s="174">
        <v>2022</v>
      </c>
      <c r="B33" t="s">
        <v>522</v>
      </c>
      <c r="C33" s="170">
        <v>9</v>
      </c>
    </row>
    <row r="34" spans="1:3" x14ac:dyDescent="0.35">
      <c r="A34" s="174">
        <v>2023</v>
      </c>
      <c r="B34" t="s">
        <v>520</v>
      </c>
      <c r="C34" s="170">
        <v>975</v>
      </c>
    </row>
    <row r="35" spans="1:3" x14ac:dyDescent="0.35">
      <c r="A35" s="174">
        <v>2023</v>
      </c>
      <c r="B35" t="s">
        <v>521</v>
      </c>
      <c r="C35" s="170">
        <v>112</v>
      </c>
    </row>
    <row r="36" spans="1:3" x14ac:dyDescent="0.35">
      <c r="A36" s="175">
        <v>2023</v>
      </c>
      <c r="B36" s="10" t="s">
        <v>522</v>
      </c>
      <c r="C36" s="171">
        <v>11</v>
      </c>
    </row>
    <row r="38" spans="1:3" x14ac:dyDescent="0.35">
      <c r="A38" s="172" t="s">
        <v>513</v>
      </c>
    </row>
    <row r="40" spans="1:3" x14ac:dyDescent="0.35">
      <c r="A40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8"/>
  <sheetViews>
    <sheetView workbookViewId="0"/>
  </sheetViews>
  <sheetFormatPr defaultColWidth="10.90625" defaultRowHeight="14.5" x14ac:dyDescent="0.35"/>
  <cols>
    <col min="1" max="1" width="6.7265625" style="172" customWidth="1"/>
    <col min="2" max="2" width="16.7265625" customWidth="1"/>
    <col min="3" max="9" width="7.7265625" customWidth="1"/>
    <col min="10" max="10" width="10.7265625" customWidth="1"/>
  </cols>
  <sheetData>
    <row r="1" spans="1:10" x14ac:dyDescent="0.35">
      <c r="A1" s="172" t="s">
        <v>53</v>
      </c>
    </row>
    <row r="3" spans="1:10" x14ac:dyDescent="0.35">
      <c r="A3" s="173" t="s">
        <v>1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 t="s">
        <v>61</v>
      </c>
      <c r="J3" s="6" t="s">
        <v>62</v>
      </c>
    </row>
    <row r="4" spans="1:10" x14ac:dyDescent="0.35">
      <c r="A4" s="174">
        <v>2013</v>
      </c>
      <c r="B4">
        <v>619.33000000000004</v>
      </c>
      <c r="C4" s="179">
        <v>1.2E-2</v>
      </c>
      <c r="D4" s="179">
        <v>0.127</v>
      </c>
      <c r="E4" s="179">
        <v>0.14799999999999999</v>
      </c>
      <c r="F4" s="179">
        <v>0.20300000000000001</v>
      </c>
      <c r="G4" s="179">
        <v>0.26200000000000001</v>
      </c>
      <c r="H4" s="179">
        <v>0.13400000000000001</v>
      </c>
      <c r="I4" s="179">
        <v>0.113</v>
      </c>
      <c r="J4" s="34">
        <v>0.73899999999999999</v>
      </c>
    </row>
    <row r="5" spans="1:10" x14ac:dyDescent="0.35">
      <c r="A5" s="174">
        <v>2014</v>
      </c>
      <c r="B5">
        <v>632.35</v>
      </c>
      <c r="C5" s="179">
        <v>1.4E-2</v>
      </c>
      <c r="D5" s="179">
        <v>0.127</v>
      </c>
      <c r="E5" s="179">
        <v>0.15</v>
      </c>
      <c r="F5" s="179">
        <v>0.19400000000000001</v>
      </c>
      <c r="G5" s="179">
        <v>0.26100000000000001</v>
      </c>
      <c r="H5" s="179">
        <v>0.13900000000000001</v>
      </c>
      <c r="I5" s="179">
        <v>0.115</v>
      </c>
      <c r="J5" s="34">
        <v>0.73899999999999999</v>
      </c>
    </row>
    <row r="6" spans="1:10" x14ac:dyDescent="0.35">
      <c r="A6" s="174">
        <v>2015</v>
      </c>
      <c r="B6">
        <v>631.26</v>
      </c>
      <c r="C6" s="179">
        <v>1.4E-2</v>
      </c>
      <c r="D6" s="179">
        <v>0.126</v>
      </c>
      <c r="E6" s="179">
        <v>0.151</v>
      </c>
      <c r="F6" s="179">
        <v>0.187</v>
      </c>
      <c r="G6" s="179">
        <v>0.26</v>
      </c>
      <c r="H6" s="179">
        <v>0.14599999999999999</v>
      </c>
      <c r="I6" s="179">
        <v>0.11600000000000001</v>
      </c>
      <c r="J6" s="34">
        <v>0.73799999999999999</v>
      </c>
    </row>
    <row r="7" spans="1:10" x14ac:dyDescent="0.35">
      <c r="A7" s="174">
        <v>2016</v>
      </c>
      <c r="B7">
        <v>634.65</v>
      </c>
      <c r="C7" s="179">
        <v>1.4999999999999999E-2</v>
      </c>
      <c r="D7" s="179">
        <v>0.124</v>
      </c>
      <c r="E7" s="179">
        <v>0.15</v>
      </c>
      <c r="F7" s="179">
        <v>0.182</v>
      </c>
      <c r="G7" s="179">
        <v>0.254</v>
      </c>
      <c r="H7" s="179">
        <v>0.154</v>
      </c>
      <c r="I7" s="179">
        <v>0.121</v>
      </c>
      <c r="J7" s="34">
        <v>0.73699999999999999</v>
      </c>
    </row>
    <row r="8" spans="1:10" x14ac:dyDescent="0.35">
      <c r="A8" s="174">
        <v>2017</v>
      </c>
      <c r="B8">
        <v>633.52</v>
      </c>
      <c r="C8" s="179">
        <v>1.6E-2</v>
      </c>
      <c r="D8" s="179">
        <v>0.123</v>
      </c>
      <c r="E8" s="179">
        <v>0.14799999999999999</v>
      </c>
      <c r="F8" s="179">
        <v>0.17899999999999999</v>
      </c>
      <c r="G8" s="179">
        <v>0.247</v>
      </c>
      <c r="H8" s="179">
        <v>0.16400000000000001</v>
      </c>
      <c r="I8" s="179">
        <v>0.123</v>
      </c>
      <c r="J8" s="34">
        <v>0.73599999999999999</v>
      </c>
    </row>
    <row r="9" spans="1:10" x14ac:dyDescent="0.35">
      <c r="A9" s="174">
        <v>2018</v>
      </c>
      <c r="B9">
        <v>631.80999999999995</v>
      </c>
      <c r="C9" s="179">
        <v>0.02</v>
      </c>
      <c r="D9" s="179">
        <v>0.124</v>
      </c>
      <c r="E9" s="179">
        <v>0.14599999999999999</v>
      </c>
      <c r="F9" s="179">
        <v>0.17699999999999999</v>
      </c>
      <c r="G9" s="179">
        <v>0.23499999999999999</v>
      </c>
      <c r="H9" s="179">
        <v>0.17299999999999999</v>
      </c>
      <c r="I9" s="179">
        <v>0.125</v>
      </c>
      <c r="J9" s="34">
        <v>0.73299999999999998</v>
      </c>
    </row>
    <row r="10" spans="1:10" x14ac:dyDescent="0.35">
      <c r="A10" s="174">
        <v>2019</v>
      </c>
      <c r="B10">
        <v>658.91</v>
      </c>
      <c r="C10" s="179">
        <v>2.1999999999999999E-2</v>
      </c>
      <c r="D10" s="179">
        <v>0.129</v>
      </c>
      <c r="E10" s="179">
        <v>0.14599999999999999</v>
      </c>
      <c r="F10" s="179">
        <v>0.17499999999999999</v>
      </c>
      <c r="G10" s="179">
        <v>0.223</v>
      </c>
      <c r="H10" s="179">
        <v>0.17899999999999999</v>
      </c>
      <c r="I10" s="179">
        <v>0.126</v>
      </c>
      <c r="J10" s="34">
        <v>0.73199999999999998</v>
      </c>
    </row>
    <row r="11" spans="1:10" x14ac:dyDescent="0.35">
      <c r="A11" s="174">
        <v>2020</v>
      </c>
      <c r="B11">
        <v>647.23</v>
      </c>
      <c r="C11" s="179">
        <v>2.1999999999999999E-2</v>
      </c>
      <c r="D11" s="179">
        <v>0.125</v>
      </c>
      <c r="E11" s="179">
        <v>0.14199999999999999</v>
      </c>
      <c r="F11" s="179">
        <v>0.17699999999999999</v>
      </c>
      <c r="G11" s="179">
        <v>0.217</v>
      </c>
      <c r="H11" s="179">
        <v>0.189</v>
      </c>
      <c r="I11" s="179">
        <v>0.129</v>
      </c>
      <c r="J11" s="34">
        <v>0.73199999999999998</v>
      </c>
    </row>
    <row r="12" spans="1:10" x14ac:dyDescent="0.35">
      <c r="A12" s="174">
        <v>2021</v>
      </c>
      <c r="B12">
        <v>681.96</v>
      </c>
      <c r="C12" s="179">
        <v>3.3000000000000002E-2</v>
      </c>
      <c r="D12" s="179">
        <v>0.13700000000000001</v>
      </c>
      <c r="E12" s="179">
        <v>0.14000000000000001</v>
      </c>
      <c r="F12" s="179">
        <v>0.17399999999999999</v>
      </c>
      <c r="G12" s="179">
        <v>0.20100000000000001</v>
      </c>
      <c r="H12" s="179">
        <v>0.188</v>
      </c>
      <c r="I12" s="179">
        <v>0.128</v>
      </c>
      <c r="J12" s="34">
        <v>0.73299999999999998</v>
      </c>
    </row>
    <row r="13" spans="1:10" x14ac:dyDescent="0.35">
      <c r="A13" s="174">
        <v>2022</v>
      </c>
      <c r="B13">
        <v>730.15</v>
      </c>
      <c r="C13" s="179">
        <v>4.1000000000000002E-2</v>
      </c>
      <c r="D13" s="179">
        <v>0.14799999999999999</v>
      </c>
      <c r="E13" s="179">
        <v>0.14099999999999999</v>
      </c>
      <c r="F13" s="179">
        <v>0.17299999999999999</v>
      </c>
      <c r="G13" s="179">
        <v>0.187</v>
      </c>
      <c r="H13" s="179">
        <v>0.183</v>
      </c>
      <c r="I13" s="179">
        <v>0.126</v>
      </c>
      <c r="J13" s="34">
        <v>0.73199999999999998</v>
      </c>
    </row>
    <row r="14" spans="1:10" x14ac:dyDescent="0.35">
      <c r="A14" s="175">
        <v>2023</v>
      </c>
      <c r="B14" s="10">
        <v>808.57</v>
      </c>
      <c r="C14" s="180">
        <v>0.04</v>
      </c>
      <c r="D14" s="180">
        <v>0.152</v>
      </c>
      <c r="E14" s="180">
        <v>0.14000000000000001</v>
      </c>
      <c r="F14" s="180">
        <v>0.17299999999999999</v>
      </c>
      <c r="G14" s="180">
        <v>0.17699999999999999</v>
      </c>
      <c r="H14" s="180">
        <v>0.185</v>
      </c>
      <c r="I14" s="180">
        <v>0.13300000000000001</v>
      </c>
      <c r="J14" s="35">
        <v>0.73</v>
      </c>
    </row>
    <row r="16" spans="1:10" x14ac:dyDescent="0.35">
      <c r="A16" s="172" t="s">
        <v>63</v>
      </c>
    </row>
    <row r="18" spans="1:1" x14ac:dyDescent="0.35">
      <c r="A18" s="176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1"/>
  <sheetViews>
    <sheetView workbookViewId="0"/>
  </sheetViews>
  <sheetFormatPr defaultColWidth="10.90625" defaultRowHeight="14.5" x14ac:dyDescent="0.35"/>
  <cols>
    <col min="1" max="1" width="15.7265625" customWidth="1"/>
    <col min="2" max="2" width="11.7265625" customWidth="1"/>
    <col min="3" max="3" width="18.7265625" customWidth="1"/>
  </cols>
  <sheetData>
    <row r="1" spans="1:3" x14ac:dyDescent="0.35">
      <c r="A1" t="s">
        <v>64</v>
      </c>
    </row>
    <row r="3" spans="1:3" x14ac:dyDescent="0.35">
      <c r="A3" s="5" t="s">
        <v>65</v>
      </c>
      <c r="B3" s="4" t="s">
        <v>41</v>
      </c>
      <c r="C3" s="6" t="s">
        <v>66</v>
      </c>
    </row>
    <row r="4" spans="1:3" x14ac:dyDescent="0.35">
      <c r="A4" s="2" t="s">
        <v>55</v>
      </c>
      <c r="B4" t="s">
        <v>46</v>
      </c>
      <c r="C4" s="36">
        <v>7937</v>
      </c>
    </row>
    <row r="5" spans="1:3" x14ac:dyDescent="0.35">
      <c r="A5" s="2" t="s">
        <v>55</v>
      </c>
      <c r="B5" t="s">
        <v>45</v>
      </c>
      <c r="C5" s="36">
        <v>24024</v>
      </c>
    </row>
    <row r="6" spans="1:3" x14ac:dyDescent="0.35">
      <c r="A6" s="2" t="s">
        <v>56</v>
      </c>
      <c r="B6" t="s">
        <v>46</v>
      </c>
      <c r="C6" s="36">
        <v>39653</v>
      </c>
    </row>
    <row r="7" spans="1:3" x14ac:dyDescent="0.35">
      <c r="A7" s="2" t="s">
        <v>56</v>
      </c>
      <c r="B7" t="s">
        <v>45</v>
      </c>
      <c r="C7" s="36">
        <v>83482</v>
      </c>
    </row>
    <row r="8" spans="1:3" x14ac:dyDescent="0.35">
      <c r="A8" s="2" t="s">
        <v>57</v>
      </c>
      <c r="B8" t="s">
        <v>46</v>
      </c>
      <c r="C8" s="36">
        <v>34828</v>
      </c>
    </row>
    <row r="9" spans="1:3" x14ac:dyDescent="0.35">
      <c r="A9" s="2" t="s">
        <v>57</v>
      </c>
      <c r="B9" t="s">
        <v>45</v>
      </c>
      <c r="C9" s="36">
        <v>78625</v>
      </c>
    </row>
    <row r="10" spans="1:3" x14ac:dyDescent="0.35">
      <c r="A10" s="2" t="s">
        <v>58</v>
      </c>
      <c r="B10" t="s">
        <v>46</v>
      </c>
      <c r="C10" s="36">
        <v>38465</v>
      </c>
    </row>
    <row r="11" spans="1:3" x14ac:dyDescent="0.35">
      <c r="A11" s="2" t="s">
        <v>58</v>
      </c>
      <c r="B11" t="s">
        <v>45</v>
      </c>
      <c r="C11" s="36">
        <v>101403</v>
      </c>
    </row>
    <row r="12" spans="1:3" x14ac:dyDescent="0.35">
      <c r="A12" s="2" t="s">
        <v>59</v>
      </c>
      <c r="B12" t="s">
        <v>46</v>
      </c>
      <c r="C12" s="36">
        <v>39775</v>
      </c>
    </row>
    <row r="13" spans="1:3" x14ac:dyDescent="0.35">
      <c r="A13" s="2" t="s">
        <v>59</v>
      </c>
      <c r="B13" t="s">
        <v>45</v>
      </c>
      <c r="C13" s="36">
        <v>103415</v>
      </c>
    </row>
    <row r="14" spans="1:3" x14ac:dyDescent="0.35">
      <c r="A14" s="2" t="s">
        <v>60</v>
      </c>
      <c r="B14" t="s">
        <v>46</v>
      </c>
      <c r="C14" s="36">
        <v>36263</v>
      </c>
    </row>
    <row r="15" spans="1:3" x14ac:dyDescent="0.35">
      <c r="A15" s="2" t="s">
        <v>60</v>
      </c>
      <c r="B15" t="s">
        <v>45</v>
      </c>
      <c r="C15" s="36">
        <v>113087</v>
      </c>
    </row>
    <row r="16" spans="1:3" x14ac:dyDescent="0.35">
      <c r="A16" s="2" t="s">
        <v>61</v>
      </c>
      <c r="B16" t="s">
        <v>46</v>
      </c>
      <c r="C16" s="36">
        <v>21411</v>
      </c>
    </row>
    <row r="17" spans="1:3" x14ac:dyDescent="0.35">
      <c r="A17" s="8" t="s">
        <v>61</v>
      </c>
      <c r="B17" s="10" t="s">
        <v>45</v>
      </c>
      <c r="C17" s="37">
        <v>86197</v>
      </c>
    </row>
    <row r="19" spans="1:3" x14ac:dyDescent="0.35">
      <c r="A19" t="s">
        <v>63</v>
      </c>
    </row>
    <row r="21" spans="1:3" x14ac:dyDescent="0.35">
      <c r="A21" s="11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72</vt:i4>
      </vt:variant>
    </vt:vector>
  </HeadingPairs>
  <TitlesOfParts>
    <vt:vector size="72" baseType="lpstr">
      <vt:lpstr>Spis treści</vt:lpstr>
      <vt:lpstr>Wykres 1.1a</vt:lpstr>
      <vt:lpstr>Wykres 1.1b</vt:lpstr>
      <vt:lpstr>Wykres 1.2</vt:lpstr>
      <vt:lpstr>Wykres 1.3a</vt:lpstr>
      <vt:lpstr>Wykres 1.3b</vt:lpstr>
      <vt:lpstr>Wykres 1.4</vt:lpstr>
      <vt:lpstr>Tabela 2.1</vt:lpstr>
      <vt:lpstr>Wykres 2.1</vt:lpstr>
      <vt:lpstr>Wykres 2.2</vt:lpstr>
      <vt:lpstr>Tabela 2.2</vt:lpstr>
      <vt:lpstr>Wykres 2.3</vt:lpstr>
      <vt:lpstr>Wykres 2.4</vt:lpstr>
      <vt:lpstr>Tabela 2.3</vt:lpstr>
      <vt:lpstr>Tabela 2.4</vt:lpstr>
      <vt:lpstr>Tabela 2.5</vt:lpstr>
      <vt:lpstr>Wykres 2.5</vt:lpstr>
      <vt:lpstr>Tabela 2.6</vt:lpstr>
      <vt:lpstr>Wykres 2.6</vt:lpstr>
      <vt:lpstr>Tabela 2.7</vt:lpstr>
      <vt:lpstr>Tabela 2.8</vt:lpstr>
      <vt:lpstr>Tabela 2.9</vt:lpstr>
      <vt:lpstr>Wykres 2.7</vt:lpstr>
      <vt:lpstr>Wykres 2.8</vt:lpstr>
      <vt:lpstr>Tabela 2.10</vt:lpstr>
      <vt:lpstr>Wykres 2.9</vt:lpstr>
      <vt:lpstr>Wykres 2.10</vt:lpstr>
      <vt:lpstr>Tabela 2.11</vt:lpstr>
      <vt:lpstr>Tabela 2.12</vt:lpstr>
      <vt:lpstr>Wykres 2.11</vt:lpstr>
      <vt:lpstr>Wykres 2.12</vt:lpstr>
      <vt:lpstr>Tabela 2.13</vt:lpstr>
      <vt:lpstr>Wykres 2.13</vt:lpstr>
      <vt:lpstr>Wykres 2.14</vt:lpstr>
      <vt:lpstr>Wykres 2.15</vt:lpstr>
      <vt:lpstr>Wykres 2.16</vt:lpstr>
      <vt:lpstr>Wykres 2.17</vt:lpstr>
      <vt:lpstr>Tabela 2.14</vt:lpstr>
      <vt:lpstr>Wykres 2.18</vt:lpstr>
      <vt:lpstr>Tabela 2.15</vt:lpstr>
      <vt:lpstr>Wykres 2.19</vt:lpstr>
      <vt:lpstr>Wykres 2.20</vt:lpstr>
      <vt:lpstr>Tabela 2.16</vt:lpstr>
      <vt:lpstr>Tabela 2.17</vt:lpstr>
      <vt:lpstr>Wykres 2.21</vt:lpstr>
      <vt:lpstr>Tabela 2.18</vt:lpstr>
      <vt:lpstr>Tabela 2.19</vt:lpstr>
      <vt:lpstr>Tabela 2.20</vt:lpstr>
      <vt:lpstr>Wykres 2.22</vt:lpstr>
      <vt:lpstr>Tabela 2.21</vt:lpstr>
      <vt:lpstr>Wykres 2.23a</vt:lpstr>
      <vt:lpstr>Wykres 2.23b</vt:lpstr>
      <vt:lpstr>Wykres 2.24a</vt:lpstr>
      <vt:lpstr>Wykres 2.24b</vt:lpstr>
      <vt:lpstr>Wykres 2.25</vt:lpstr>
      <vt:lpstr>Tabela 2.21a</vt:lpstr>
      <vt:lpstr>Wykres 2.26</vt:lpstr>
      <vt:lpstr>Tabela 2.22</vt:lpstr>
      <vt:lpstr>Wykres 2.27</vt:lpstr>
      <vt:lpstr>Tabela 2.23</vt:lpstr>
      <vt:lpstr>Wykres 2.28</vt:lpstr>
      <vt:lpstr>Wykres 2.29</vt:lpstr>
      <vt:lpstr>Tabela 2.24</vt:lpstr>
      <vt:lpstr>Wykres 3.1</vt:lpstr>
      <vt:lpstr>Wykres 3.2</vt:lpstr>
      <vt:lpstr>Wykres 3.3</vt:lpstr>
      <vt:lpstr>Wykres 3.4</vt:lpstr>
      <vt:lpstr>Wykres 3.5</vt:lpstr>
      <vt:lpstr>Tabela 3.1</vt:lpstr>
      <vt:lpstr>Wykres 3.6</vt:lpstr>
      <vt:lpstr>Wykres 3.7</vt:lpstr>
      <vt:lpstr>Wykres 3.8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2024-05-08T10:35:53Z</dcterms:created>
  <dcterms:modified xsi:type="dcterms:W3CDTF">2024-05-08T09:22:24Z</dcterms:modified>
</cp:coreProperties>
</file>